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597" activeTab="0"/>
  </bookViews>
  <sheets>
    <sheet name="Cover" sheetId="1" r:id="rId1"/>
    <sheet name="Overview" sheetId="2" r:id="rId2"/>
    <sheet name="Sheet2" sheetId="3" r:id="rId3"/>
    <sheet name="Dashboard" sheetId="4" r:id="rId4"/>
    <sheet name="Inputs" sheetId="5" state="hidden" r:id="rId5"/>
    <sheet name="Purchase" sheetId="6" r:id="rId6"/>
    <sheet name="PPA" sheetId="7" r:id="rId7"/>
    <sheet name="Lease" sheetId="8" r:id="rId8"/>
    <sheet name="Use and Costs" sheetId="9" r:id="rId9"/>
    <sheet name="Weather Data" sheetId="10" r:id="rId10"/>
    <sheet name="Financial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123Graph_A" localSheetId="0" hidden="1">'[1]Sheet1'!#REF!</definedName>
    <definedName name="__123Graph_A" hidden="1">'[1]Sheet1'!#REF!</definedName>
    <definedName name="__123Graph_A[FABP&amp;L.WK1]FAB" hidden="1">'[1]Sheet1'!#REF!</definedName>
    <definedName name="__123Graph_ADA" localSheetId="0" hidden="1">'[1]Sheet1'!#REF!</definedName>
    <definedName name="__123Graph_ADA" hidden="1">'[1]Sheet1'!#REF!</definedName>
    <definedName name="__123Graph_ADEPREC%" hidden="1">'[1]Sheet1'!#REF!</definedName>
    <definedName name="__123Graph_ADEPREC2" localSheetId="0" hidden="1">'[1]Sheet1'!#REF!</definedName>
    <definedName name="__123Graph_ADEPREC2" hidden="1">'[1]Sheet1'!#REF!</definedName>
    <definedName name="__123Graph_ATREND" localSheetId="0" hidden="1">'[1]Sheet1'!#REF!</definedName>
    <definedName name="__123Graph_ATREND" hidden="1">'[1]Sheet1'!#REF!</definedName>
    <definedName name="__123Graph_B" localSheetId="0" hidden="1">'[1]Sheet1'!#REF!</definedName>
    <definedName name="__123Graph_B" hidden="1">'[1]Sheet1'!#REF!</definedName>
    <definedName name="__123Graph_B[FABP&amp;L.WK1]FAB" hidden="1">'[1]Sheet1'!#REF!</definedName>
    <definedName name="__123Graph_BTREND" localSheetId="0" hidden="1">'[1]Sheet1'!#REF!</definedName>
    <definedName name="__123Graph_BTREND" hidden="1">'[1]Sheet1'!#REF!</definedName>
    <definedName name="__123Graph_C" localSheetId="0" hidden="1">'[1]Sheet1'!#REF!</definedName>
    <definedName name="__123Graph_C" hidden="1">'[1]Sheet1'!#REF!</definedName>
    <definedName name="__123Graph_C[FABP&amp;L.WK1]FAB" hidden="1">'[1]Sheet1'!#REF!</definedName>
    <definedName name="__123Graph_CTREND" localSheetId="0" hidden="1">'[1]Sheet1'!#REF!</definedName>
    <definedName name="__123Graph_CTREND" hidden="1">'[1]Sheet1'!#REF!</definedName>
    <definedName name="__123Graph_X" localSheetId="0" hidden="1">'[1]Sheet1'!#REF!</definedName>
    <definedName name="__123Graph_X" hidden="1">'[1]Sheet1'!#REF!</definedName>
    <definedName name="__123Graph_X[FABP&amp;L.WK1]FAB" hidden="1">'[1]Sheet1'!#REF!</definedName>
    <definedName name="__123Graph_XTREND" localSheetId="0" hidden="1">'[1]Sheet1'!#REF!</definedName>
    <definedName name="__123Graph_XTREND" hidden="1">'[1]Sheet1'!#REF!</definedName>
    <definedName name="__FDS_HYPERLINK_TOGGLE_STATE__" hidden="1">"ON"</definedName>
    <definedName name="__PG1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r2">#REF!</definedName>
    <definedName name="_1__123Graph_A_FABP_L.WK1_FAB" hidden="1">'[1]Sheet1'!#REF!</definedName>
    <definedName name="_2__123Graph_ADEPREC" hidden="1">'[1]Sheet1'!#REF!</definedName>
    <definedName name="_3__123Graph_B_FABP_L.WK1_FAB" hidden="1">'[1]Sheet1'!#REF!</definedName>
    <definedName name="_4__123Graph_C_FABP_L.WK1_FAB" hidden="1">'[1]Sheet1'!#REF!</definedName>
    <definedName name="_5__123Graph_X_FABP_L.WK1_FAB" hidden="1">'[1]Sheet1'!#REF!</definedName>
    <definedName name="_6_0Deprec_P">'[1]Sheet1'!#REF!</definedName>
    <definedName name="_7_0pric">'[2]Sheet1'!#REF!</definedName>
    <definedName name="_8_0TAB">'[3]PXMODEL'!#REF!</definedName>
    <definedName name="_9_0TAB">'[3]PXMODEL'!#REF!</definedName>
    <definedName name="_Fill" localSheetId="0" hidden="1">#REF!</definedName>
    <definedName name="_Fill" hidden="1">#REF!</definedName>
    <definedName name="_Key1" localSheetId="0" hidden="1">'[1]Sheet1'!#REF!</definedName>
    <definedName name="_Key1" hidden="1">'[1]Sheet1'!#REF!</definedName>
    <definedName name="_Order1" hidden="1">255</definedName>
    <definedName name="_Order2" hidden="1">255</definedName>
    <definedName name="_PG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r2">#REF!</definedName>
    <definedName name="_Sort" localSheetId="0" hidden="1">'[1]Sheet1'!#REF!</definedName>
    <definedName name="_Sort" hidden="1">'[1]Sheet1'!#REF!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IP2">#REF!</definedName>
    <definedName name="_xlfn.RTD" hidden="1">#NAME?</definedName>
    <definedName name="\c">#REF!</definedName>
    <definedName name="\f">#REF!</definedName>
    <definedName name="\m">#REF!</definedName>
    <definedName name="\v">#REF!</definedName>
    <definedName name="\y">#REF!</definedName>
    <definedName name="a">#REF!</definedName>
    <definedName name="ACASM">#REF!</definedName>
    <definedName name="Accounts_Payable">#REF!</definedName>
    <definedName name="Accounts_Payable_2">#REF!</definedName>
    <definedName name="Accounts_Payable_F">#REF!</definedName>
    <definedName name="Accounts_Receivables">#REF!</definedName>
    <definedName name="Accounts_Receivables_2">#REF!</definedName>
    <definedName name="Accounts_Receivables_F">#REF!</definedName>
    <definedName name="ACCRETE">#REF!</definedName>
    <definedName name="ACPax">#REF!</definedName>
    <definedName name="Acquisition_Statistics">#REF!</definedName>
    <definedName name="ACRev">#REF!</definedName>
    <definedName name="ACRS">#REF!</definedName>
    <definedName name="adj_dates">'[4]Summary P&amp;L'!$F$5:$H$5,'[4]Summary P&amp;L'!$K$5:$V$5</definedName>
    <definedName name="adjustments">'[4]Summary P&amp;L'!$F$78:$H$83,'[4]Summary P&amp;L'!$K$78:$V$83</definedName>
    <definedName name="ADM">#REF!</definedName>
    <definedName name="AFEE">#REF!</definedName>
    <definedName name="All">#REF!</definedName>
    <definedName name="amort">#REF!</definedName>
    <definedName name="ana" localSheetId="0">#REF!</definedName>
    <definedName name="ana">#REF!</definedName>
    <definedName name="annak" localSheetId="0">#REF!</definedName>
    <definedName name="annak">#REF!</definedName>
    <definedName name="annualized_period">'[5]DCF Assumptions'!$D$11</definedName>
    <definedName name="anti_gross">'[4]Revenue'!$B$100:$D$100,'[4]Revenue'!$B$102,'[4]Revenue'!$C$102,'[4]Revenue'!$D$102,'[4]Revenue'!$F$100,'[4]Revenue'!$F$102,'[4]Revenue'!$F$104,'[4]Revenue'!$D$104,'[4]Revenue'!$C$104,'[4]Revenue'!$B$104,'[4]Revenue'!$B$106,'[4]Revenue'!$C$106,'[4]Revenue'!$D$106,'[4]Revenue'!$B$108,'[4]Revenue'!$C$108,'[4]Revenue'!$D$108,'[4]Revenue'!$F$108,'[4]Revenue'!$F$106,'[4]Revenue'!$K$108,'[4]Revenue'!$K$106,'[4]Revenue'!$K$104,'[4]Revenue'!$K$102,'[4]Revenue'!$K$100,'[4]Revenue'!$N$100,'[4]Revenue'!$N$102,'[4]Revenue'!$N$104,'[4]Revenue'!$N$106,'[4]Revenue'!$N$108,'[4]Revenue'!$Q$108,'[4]Revenue'!$Q$106,'[4]Revenue'!$Q$104,'[4]Revenue'!$Q$102,'[4]Revenue'!$Q$100,'[4]Revenue'!$T$100,'[4]Revenue'!$T$102,'[4]Revenue'!$T$104,'[4]Revenue'!$T$106,'[4]Revenue'!$T$108</definedName>
    <definedName name="AP" localSheetId="0">#REF!</definedName>
    <definedName name="AP">#REF!</definedName>
    <definedName name="APeq" localSheetId="0">#REF!</definedName>
    <definedName name="APeq">#REF!</definedName>
    <definedName name="APR" localSheetId="0">#REF!</definedName>
    <definedName name="APR">#REF!</definedName>
    <definedName name="AR" localSheetId="0">#REF!</definedName>
    <definedName name="AR">#REF!</definedName>
    <definedName name="AReq" localSheetId="0">#REF!</definedName>
    <definedName name="AReq">#REF!</definedName>
    <definedName name="ass" localSheetId="0">'[6]Assumptions'!#REF!</definedName>
    <definedName name="ass">'[6]Assumptions'!#REF!</definedName>
    <definedName name="ASSET_MANAGEMENT" localSheetId="0">#REF!</definedName>
    <definedName name="ASSET_MANAGEMENT">#REF!</definedName>
    <definedName name="assumptions" localSheetId="0">'[6]Output'!#REF!</definedName>
    <definedName name="assumptions">'[6]Output'!#REF!</definedName>
    <definedName name="AUG" localSheetId="0">#REF!</definedName>
    <definedName name="AUG">#REF!</definedName>
    <definedName name="AVAR" localSheetId="0">#REF!</definedName>
    <definedName name="AVAR">#REF!</definedName>
    <definedName name="Average_price_of_class_A_and_class_b" localSheetId="0">#REF!</definedName>
    <definedName name="Average_price_of_class_A_and_class_b">#REF!</definedName>
    <definedName name="Average_price_of_class_A_and_class_b_2" localSheetId="0">#REF!</definedName>
    <definedName name="Average_price_of_class_A_and_class_b_2">#REF!</definedName>
    <definedName name="Average_price_of_class_A_and_class_b_F" localSheetId="0">#REF!</definedName>
    <definedName name="Average_price_of_class_A_and_class_b_F">#REF!</definedName>
    <definedName name="avg_ratio" localSheetId="0">#REF!</definedName>
    <definedName name="avg_ratio">#REF!</definedName>
    <definedName name="avg_ratio2" localSheetId="0">#REF!</definedName>
    <definedName name="avg_ratio2">#REF!</definedName>
    <definedName name="Avg_Stc_Price_A_B" localSheetId="0">#REF!</definedName>
    <definedName name="Avg_Stc_Price_A_B">#REF!</definedName>
    <definedName name="Avg_Stc_Price_A_Beq" localSheetId="0">#REF!</definedName>
    <definedName name="Avg_Stc_Price_A_Beq">#REF!</definedName>
    <definedName name="backup" localSheetId="0">#REF!</definedName>
    <definedName name="backup">#REF!</definedName>
    <definedName name="bad_debt">'[4]Revenue'!$V$54,'[4]Revenue'!$K$54:$V$54,'[4]Revenue'!$F$54:$H$54,'[4]Revenue'!$B$54:$D$54</definedName>
    <definedName name="Bank">'[7]Recap'!$B$52</definedName>
    <definedName name="bankprices">'[8]FS Debt'!$A$26:$T$41</definedName>
    <definedName name="Base" localSheetId="0">#REF!</definedName>
    <definedName name="Base">#REF!</definedName>
    <definedName name="bdep" localSheetId="0">#REF!</definedName>
    <definedName name="bdep">#REF!</definedName>
    <definedName name="bdpar" localSheetId="0">#REF!</definedName>
    <definedName name="bdpar">#REF!</definedName>
    <definedName name="BeginDate">'[9]#REF'!$A$3</definedName>
    <definedName name="BH" localSheetId="0">#REF!</definedName>
    <definedName name="BH">#REF!</definedName>
    <definedName name="bio_gross">'[4]Revenue'!$B$122,'[4]Revenue'!$C$122,'[4]Revenue'!$D$122,'[4]Revenue'!$F$122,'[4]Revenue'!$F$123,'[4]Revenue'!$D$123,'[4]Revenue'!$C$123,'[4]Revenue'!$B$123,'[4]Revenue'!$B$125,'[4]Revenue'!$C$125,'[4]Revenue'!$D$125,'[4]Revenue'!$F$125,'[4]Revenue'!$F$127,'[4]Revenue'!$D$127,'[4]Revenue'!$C$127,'[4]Revenue'!$B$127,'[4]Revenue'!$B$129,'[4]Revenue'!$C$129,'[4]Revenue'!$D$129,'[4]Revenue'!$F$129,'[4]Revenue'!$K$129,'[4]Revenue'!$K$127,'[4]Revenue'!$K$125,'[4]Revenue'!$K$123,'[4]Revenue'!$K$122,'[4]Revenue'!$N$122,'[4]Revenue'!$N$123,'[4]Revenue'!$N$125,'[4]Revenue'!$N$127,'[4]Revenue'!$N$129,'[4]Revenue'!$Q$129,'[4]Revenue'!$Q$127,'[4]Revenue'!$Q$125,'[4]Revenue'!$Q$123,'[4]Revenue'!$Q$122,'[4]Revenue'!$T$129,'[4]Revenue'!$T$127,'[4]Revenue'!$T$125</definedName>
    <definedName name="BLPB1" hidden="1">'[10]One-Pager'!$A$5</definedName>
    <definedName name="BLPB2" hidden="1">'[10]One-Pager'!$B$5</definedName>
    <definedName name="BLPB3" hidden="1">'[10]One-Pager'!$A$6</definedName>
    <definedName name="BLPB4" hidden="1">'[10]One-Pager'!$A$2</definedName>
    <definedName name="BLPB5" hidden="1">'[10]One-Pager'!$Q$3</definedName>
    <definedName name="BLPB6" hidden="1">'[10]One-Pager'!$I$2</definedName>
    <definedName name="BLPB7" hidden="1">'[10]One-Pager'!$G$2</definedName>
    <definedName name="BLPB8" hidden="1">'[10]One-Pager'!$F$6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1" localSheetId="0" hidden="1">#REF!</definedName>
    <definedName name="BLPH11" hidden="1">#REF!</definedName>
    <definedName name="BLPH12" localSheetId="0" hidden="1">#REF!</definedName>
    <definedName name="BLPH12" hidden="1">#REF!</definedName>
    <definedName name="BLPH13" localSheetId="0" hidden="1">#REF!</definedName>
    <definedName name="BLPH13" hidden="1">#REF!</definedName>
    <definedName name="BLPH14" localSheetId="0" hidden="1">#REF!</definedName>
    <definedName name="BLPH14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#REF!</definedName>
    <definedName name="BLPH4" hidden="1">#REF!</definedName>
    <definedName name="BLPH5" localSheetId="0" hidden="1">#REF!</definedName>
    <definedName name="BLPH5" hidden="1">#REF!</definedName>
    <definedName name="BLPH6" localSheetId="0" hidden="1">#REF!</definedName>
    <definedName name="BLPH6" hidden="1">#REF!</definedName>
    <definedName name="BLPH7" localSheetId="0" hidden="1">#REF!</definedName>
    <definedName name="BLPH7" hidden="1">#REF!</definedName>
    <definedName name="BLPH8" localSheetId="0" hidden="1">#REF!</definedName>
    <definedName name="BLPH8" hidden="1">#REF!</definedName>
    <definedName name="BLPH9" localSheetId="0" hidden="1">#REF!</definedName>
    <definedName name="BLPH9" hidden="1">#REF!</definedName>
    <definedName name="BPRS" localSheetId="0">#REF!</definedName>
    <definedName name="BPRS">#REF!</definedName>
    <definedName name="BS" localSheetId="0">#REF!</definedName>
    <definedName name="BS">#REF!</definedName>
    <definedName name="BS_COMP1" localSheetId="0">#REF!</definedName>
    <definedName name="BS_COMP1">#REF!</definedName>
    <definedName name="BS_COMP1C" localSheetId="0">#REF!</definedName>
    <definedName name="BS_COMP1C">#REF!</definedName>
    <definedName name="BS_COMP2" localSheetId="0">#REF!</definedName>
    <definedName name="BS_COMP2">#REF!</definedName>
    <definedName name="BS_COMP2C" localSheetId="0">#REF!</definedName>
    <definedName name="BS_COMP2C">#REF!</definedName>
    <definedName name="BS_COMP3" localSheetId="0">#REF!</definedName>
    <definedName name="BS_COMP3">#REF!</definedName>
    <definedName name="BS_COMP3C" localSheetId="0">#REF!</definedName>
    <definedName name="BS_COMP3C">#REF!</definedName>
    <definedName name="BS_COMP4" localSheetId="0">#REF!</definedName>
    <definedName name="BS_COMP4">#REF!</definedName>
    <definedName name="BS_COMP4C" localSheetId="0">#REF!</definedName>
    <definedName name="BS_COMP4C">#REF!</definedName>
    <definedName name="BS_COMP5" localSheetId="0">#REF!</definedName>
    <definedName name="BS_COMP5">#REF!</definedName>
    <definedName name="BS_COMP5C" localSheetId="0">#REF!</definedName>
    <definedName name="BS_COMP5C">#REF!</definedName>
    <definedName name="BS_COMP6" localSheetId="0">#REF!</definedName>
    <definedName name="BS_COMP6">#REF!</definedName>
    <definedName name="BS_COMP6C" localSheetId="0">#REF!</definedName>
    <definedName name="BS_COMP6C">#REF!</definedName>
    <definedName name="BS_Detail" localSheetId="0">#REF!</definedName>
    <definedName name="BS_Detail">#REF!</definedName>
    <definedName name="bs_sub" localSheetId="0">#REF!</definedName>
    <definedName name="bs_sub">#REF!</definedName>
    <definedName name="BS_SUB2" localSheetId="0">#REF!</definedName>
    <definedName name="BS_SUB2">#REF!</definedName>
    <definedName name="caid_patient_census">'[4]Revenue'!$B$406:$D$406,'[4]Revenue'!$F$406:$H$406,'[4]Revenue'!$K$406:$V$406</definedName>
    <definedName name="CAPEX" localSheetId="0">#REF!</definedName>
    <definedName name="CAPEX">#REF!</definedName>
    <definedName name="CAPEX_2" localSheetId="0">#REF!</definedName>
    <definedName name="CAPEX_2">#REF!</definedName>
    <definedName name="CAPEX_F" localSheetId="0">#REF!</definedName>
    <definedName name="CAPEX_F">#REF!</definedName>
    <definedName name="Capexpend" localSheetId="0">#REF!</definedName>
    <definedName name="Capexpend">#REF!</definedName>
    <definedName name="Capexpendeq" localSheetId="0">#REF!</definedName>
    <definedName name="Capexpendeq">#REF!</definedName>
    <definedName name="Capitalization_Project" localSheetId="0">#REF!</definedName>
    <definedName name="Capitalization_Project">#REF!</definedName>
    <definedName name="capnumber" localSheetId="0">#REF!</definedName>
    <definedName name="capnumber">#REF!</definedName>
    <definedName name="capx" localSheetId="0">#REF!</definedName>
    <definedName name="capx">#REF!</definedName>
    <definedName name="case" localSheetId="0">#REF!</definedName>
    <definedName name="case">#REF!</definedName>
    <definedName name="casenumber" localSheetId="0">#REF!</definedName>
    <definedName name="casenumber">#REF!</definedName>
    <definedName name="Cash" localSheetId="0">#REF!</definedName>
    <definedName name="Cash">#REF!</definedName>
    <definedName name="Cash___Marketable_securities" localSheetId="0">#REF!</definedName>
    <definedName name="Cash___Marketable_securities">#REF!</definedName>
    <definedName name="Cash___Marketable_securities_2" localSheetId="0">#REF!</definedName>
    <definedName name="Cash___Marketable_securities_2">#REF!</definedName>
    <definedName name="Cash___Marketable_securities_F" localSheetId="0">#REF!</definedName>
    <definedName name="Cash___Marketable_securities_F">#REF!</definedName>
    <definedName name="Cash_Flow" localSheetId="0">#REF!</definedName>
    <definedName name="Cash_Flow">#REF!</definedName>
    <definedName name="Cash_Flow_Statement" localSheetId="0">#REF!</definedName>
    <definedName name="Cash_Flow_Statement">#REF!</definedName>
    <definedName name="Casheq" localSheetId="0">#REF!</definedName>
    <definedName name="Casheq">#REF!</definedName>
    <definedName name="cath_gross">'[4]Revenue'!$B$199,'[4]Revenue'!$B$199:$D$199,'[4]Revenue'!$F$199,'[4]Revenue'!$F$201,'[4]Revenue'!$B$201:$D$201,'[4]Revenue'!$B$203:$D$203,'[4]Revenue'!$F$203,'[4]Revenue'!$F$205,'[4]Revenue'!$B$205:$D$205,'[4]Revenue'!$B$207:$D$207,'[4]Revenue'!$F$207,'[4]Revenue'!$K$207,'[4]Revenue'!$K$205,'[4]Revenue'!$K$203,'[4]Revenue'!$K$201,'[4]Revenue'!$K$199,'[4]Revenue'!$N$199,'[4]Revenue'!$N$201,'[4]Revenue'!$N$203,'[4]Revenue'!$N$205,'[4]Revenue'!$N$207,'[4]Revenue'!$Q$207,'[4]Revenue'!$Q$205,'[4]Revenue'!$Q$203,'[4]Revenue'!$Q$201,'[4]Revenue'!$Q$199,'[4]Revenue'!$T$199,'[4]Revenue'!$T$201</definedName>
    <definedName name="CBS" localSheetId="0">#REF!</definedName>
    <definedName name="CBS">#REF!</definedName>
    <definedName name="ccase" localSheetId="0">#REF!</definedName>
    <definedName name="ccase">#REF!</definedName>
    <definedName name="cell_ref" localSheetId="0">#REF!</definedName>
    <definedName name="cell_ref">#REF!</definedName>
    <definedName name="CF" localSheetId="0">#REF!</definedName>
    <definedName name="CF">#REF!</definedName>
    <definedName name="chemo_gross">'[4]Revenue'!$B$133,'[4]Revenue'!$C$133,'[4]Revenue'!$D$133,'[4]Revenue'!$F$133,'[4]Revenue'!$F$135,'[4]Revenue'!$D$135,'[4]Revenue'!$C$135,'[4]Revenue'!$B$135,'[4]Revenue'!$B$137,'[4]Revenue'!$C$137,'[4]Revenue'!$D$137,'[4]Revenue'!$F$137,'[4]Revenue'!$F$139,'[4]Revenue'!$D$139,'[4]Revenue'!$C$139,'[4]Revenue'!$B$139,'[4]Revenue'!$B$141,'[4]Revenue'!$C$141,'[4]Revenue'!$D$141,'[4]Revenue'!$F$141,'[4]Revenue'!$K$133,'[4]Revenue'!$K$135,'[4]Revenue'!$K$137,'[4]Revenue'!$K$139,'[4]Revenue'!$K$141,'[4]Revenue'!$N$141,'[4]Revenue'!$N$139,'[4]Revenue'!$N$137,'[4]Revenue'!$N$135,'[4]Revenue'!$N$133,'[4]Revenue'!$Q$141,'[4]Revenue'!$Q$139,'[4]Revenue'!$Q$137,'[4]Revenue'!$Q$135</definedName>
    <definedName name="Choices_Wrapper" localSheetId="0">'Cover'!Choices_Wrapper</definedName>
    <definedName name="Choices_Wrapper">[0]!Choices_Wrapper</definedName>
    <definedName name="claim">'[11]Control'!$P$141</definedName>
    <definedName name="client_co">'[12]Assumptions and Inputs (2)'!$D$7</definedName>
    <definedName name="CLOSBS" localSheetId="0">#REF!</definedName>
    <definedName name="CLOSBS">#REF!</definedName>
    <definedName name="CN" localSheetId="0">#REF!</definedName>
    <definedName name="CN">#REF!</definedName>
    <definedName name="cnd" localSheetId="0">#REF!</definedName>
    <definedName name="cnd">#REF!</definedName>
    <definedName name="COGS" localSheetId="0">#REF!</definedName>
    <definedName name="COGS">#REF!</definedName>
    <definedName name="COGS_2" localSheetId="0">#REF!</definedName>
    <definedName name="COGS_2">#REF!</definedName>
    <definedName name="COGS_F" localSheetId="0">#REF!</definedName>
    <definedName name="COGS_F">#REF!</definedName>
    <definedName name="com_div" localSheetId="0">#REF!</definedName>
    <definedName name="com_div">#REF!</definedName>
    <definedName name="com_diveq" localSheetId="0">#REF!</definedName>
    <definedName name="com_diveq">#REF!</definedName>
    <definedName name="com_patient_census">'[4]Revenue'!$B$540:$D$540,'[4]Revenue'!$F$540:$H$540,'[4]Revenue'!$K$540:$V$540</definedName>
    <definedName name="common_dividend" localSheetId="0">#REF!</definedName>
    <definedName name="common_dividend">#REF!</definedName>
    <definedName name="common_dividend_2" localSheetId="0">#REF!</definedName>
    <definedName name="common_dividend_2">#REF!</definedName>
    <definedName name="common_dividend_F" localSheetId="0">#REF!</definedName>
    <definedName name="common_dividend_F">#REF!</definedName>
    <definedName name="Common_Size">'[1]Sheet1'!$B$6:$X$52</definedName>
    <definedName name="COMPARE">#REF!</definedName>
    <definedName name="Consol" localSheetId="0">#REF!</definedName>
    <definedName name="Consol">#REF!</definedName>
    <definedName name="control_wacc" localSheetId="0">'[13]WACC'!#REF!</definedName>
    <definedName name="control_wacc">'[13]WACC'!#REF!</definedName>
    <definedName name="copyright">'[12]Assumptions and Inputs (2)'!$D$17</definedName>
    <definedName name="Costgoods" localSheetId="0">#REF!</definedName>
    <definedName name="Costgoods">#REF!</definedName>
    <definedName name="Costgoodseq">#REF!</definedName>
    <definedName name="CS" localSheetId="0">#REF!</definedName>
    <definedName name="CS">#REF!</definedName>
    <definedName name="Currency">'[14]PV Graph Data'!$E$3</definedName>
    <definedName name="currency_heading">'[12]Assumptions and Inputs (2)'!$D$11</definedName>
    <definedName name="Current_price_of__preferred___tagged_to_stock_2" localSheetId="0">#REF!</definedName>
    <definedName name="Current_price_of__preferred___tagged_to_stock_2">#REF!</definedName>
    <definedName name="Current_price_of__preferred___tagged_to_stock_F" localSheetId="0">#REF!</definedName>
    <definedName name="Current_price_of__preferred___tagged_to_stock_F">#REF!</definedName>
    <definedName name="Current_price_of__preferred___tagged_to_stock_price_if_necessary" localSheetId="0">#REF!</definedName>
    <definedName name="Current_price_of__preferred___tagged_to_stock_price_if_necessary">#REF!</definedName>
    <definedName name="DAFGVC" localSheetId="0">#REF!</definedName>
    <definedName name="DAFGVC">#REF!</definedName>
    <definedName name="date_toggle">'[12]Assumptions and Inputs (2)'!$D$31</definedName>
    <definedName name="date1">'[15]Assumptions'!$C$14</definedName>
    <definedName name="dcf">'[1]Sheet1'!$B$1:$X$68</definedName>
    <definedName name="Debt" localSheetId="0">#REF!</definedName>
    <definedName name="Debt">#REF!</definedName>
    <definedName name="Debt_5.........................................................................................................................." localSheetId="0">#REF!</definedName>
    <definedName name="Debt_5..........................................................................................................................">#REF!</definedName>
    <definedName name="Debt_Multiples" localSheetId="0">#REF!</definedName>
    <definedName name="Debt_Multiples">#REF!</definedName>
    <definedName name="Debt_Ratios" localSheetId="0">'[16]AM'!#REF!</definedName>
    <definedName name="Debt_Ratios">'[16]AM'!#REF!</definedName>
    <definedName name="Debt_Space" localSheetId="0">#REF!</definedName>
    <definedName name="Debt_Space">#REF!</definedName>
    <definedName name="debtamort" localSheetId="0">#REF!</definedName>
    <definedName name="debtamort">#REF!</definedName>
    <definedName name="debtrig" localSheetId="0">#REF!</definedName>
    <definedName name="debtrig">#REF!</definedName>
    <definedName name="DEC" localSheetId="0">#REF!</definedName>
    <definedName name="DEC">#REF!</definedName>
    <definedName name="DEMURRAGE" localSheetId="0">#REF!</definedName>
    <definedName name="DEMURRAGE">#REF!</definedName>
    <definedName name="DEP" localSheetId="0">#REF!</definedName>
    <definedName name="DEP">#REF!</definedName>
    <definedName name="Depr" localSheetId="0">#REF!</definedName>
    <definedName name="Depr">#REF!</definedName>
    <definedName name="depr._override" localSheetId="0">#REF!</definedName>
    <definedName name="depr._override">#REF!</definedName>
    <definedName name="Deprec_exist">'[1]Sheet1'!$B$64:$N$98</definedName>
    <definedName name="Deprec_Proj">'[1]Sheet1'!$B$1:$O$58</definedName>
    <definedName name="Depreciation_ammortization" localSheetId="0">#REF!</definedName>
    <definedName name="Depreciation_ammortization">#REF!</definedName>
    <definedName name="Depreciation_ammortization_2" localSheetId="0">#REF!</definedName>
    <definedName name="Depreciation_ammortization_2">#REF!</definedName>
    <definedName name="Depreciation_ammortization_F" localSheetId="0">#REF!</definedName>
    <definedName name="Depreciation_ammortization_F">#REF!</definedName>
    <definedName name="Depreq" localSheetId="0">#REF!</definedName>
    <definedName name="Depreq">#REF!</definedName>
    <definedName name="disc" localSheetId="0">#REF!</definedName>
    <definedName name="disc">#REF!</definedName>
    <definedName name="DISTR" localSheetId="0">#REF!</definedName>
    <definedName name="DISTR">#REF!</definedName>
    <definedName name="DOLLARS" localSheetId="0">#REF!</definedName>
    <definedName name="DOLLARS">#REF!</definedName>
    <definedName name="draft_note">'[12]Assumptions and Inputs (2)'!$D$15</definedName>
    <definedName name="draft_note2">'[12]Assumptions and Inputs (2)'!$D$16</definedName>
    <definedName name="draft_stamp" localSheetId="0">#REF!</definedName>
    <definedName name="draft_stamp">#REF!</definedName>
    <definedName name="draft_toggle">'[12]Assumptions and Inputs (2)'!$D$33</definedName>
    <definedName name="ds" localSheetId="0">#REF!</definedName>
    <definedName name="ds">#REF!</definedName>
    <definedName name="dsched" localSheetId="0">#REF!</definedName>
    <definedName name="dsched">#REF!</definedName>
    <definedName name="DU_PONT" localSheetId="0">#REF!</definedName>
    <definedName name="DU_PONT">#REF!</definedName>
    <definedName name="EarningsModel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arningsMode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bdait" localSheetId="0">#REF!</definedName>
    <definedName name="ebdait">#REF!</definedName>
    <definedName name="EBIT" localSheetId="0">#REF!</definedName>
    <definedName name="EBIT">#REF!</definedName>
    <definedName name="EBIT_2" localSheetId="0">#REF!</definedName>
    <definedName name="EBIT_2">#REF!</definedName>
    <definedName name="EBIT_F" localSheetId="0">#REF!</definedName>
    <definedName name="EBIT_F">#REF!</definedName>
    <definedName name="EBIT_new" localSheetId="0">#REF!</definedName>
    <definedName name="EBIT_new">#REF!</definedName>
    <definedName name="EBIT_neweq" localSheetId="0">#REF!</definedName>
    <definedName name="EBIT_neweq">#REF!</definedName>
    <definedName name="EBITDA" localSheetId="0">#REF!</definedName>
    <definedName name="EBITDA">#REF!</definedName>
    <definedName name="EBITDA_2" localSheetId="0">#REF!</definedName>
    <definedName name="EBITDA_2">#REF!</definedName>
    <definedName name="EBITDA_F" localSheetId="0">#REF!</definedName>
    <definedName name="EBITDA_F">#REF!</definedName>
    <definedName name="EBITDA_new" localSheetId="0">#REF!</definedName>
    <definedName name="EBITDA_new">#REF!</definedName>
    <definedName name="EBITDA_neweq" localSheetId="0">#REF!</definedName>
    <definedName name="EBITDA_neweq">#REF!</definedName>
    <definedName name="ECU_Price" localSheetId="0">#REF!</definedName>
    <definedName name="ECU_Price">#REF!</definedName>
    <definedName name="EGG" localSheetId="0">#REF!</definedName>
    <definedName name="EGG">#REF!</definedName>
    <definedName name="Emp" localSheetId="0">#REF!</definedName>
    <definedName name="Emp">#REF!</definedName>
    <definedName name="Empeq" localSheetId="0">#REF!</definedName>
    <definedName name="Empeq">#REF!</definedName>
    <definedName name="Employees" localSheetId="0">#REF!</definedName>
    <definedName name="Employees">#REF!</definedName>
    <definedName name="Employees_2" localSheetId="0">#REF!</definedName>
    <definedName name="Employees_2">#REF!</definedName>
    <definedName name="Employees_F" localSheetId="0">#REF!</definedName>
    <definedName name="Employees_F">#REF!</definedName>
    <definedName name="EndDate">'[9]#REF'!$B$3</definedName>
    <definedName name="enteral_gross">'[4]Revenue'!$B$144,'[4]Revenue'!$C$144,'[4]Revenue'!$D$144,'[4]Revenue'!$F$144,'[4]Revenue'!$F$146,'[4]Revenue'!$D$146,'[4]Revenue'!$C$146,'[4]Revenue'!$B$146,'[4]Revenue'!$B$148,'[4]Revenue'!$C$148,'[4]Revenue'!$D$148,'[4]Revenue'!$F$148,'[4]Revenue'!$F$150,'[4]Revenue'!$D$150,'[4]Revenue'!$C$150,'[4]Revenue'!$B$150,'[4]Revenue'!$B$152</definedName>
    <definedName name="EQ_COM" localSheetId="0">#REF!</definedName>
    <definedName name="EQ_COM">#REF!</definedName>
    <definedName name="EQ_EX" localSheetId="0">#REF!</definedName>
    <definedName name="EQ_EX">#REF!</definedName>
    <definedName name="EQ_JSD" localSheetId="0">#REF!</definedName>
    <definedName name="EQ_JSD">#REF!</definedName>
    <definedName name="EQ_PREF" localSheetId="0">#REF!</definedName>
    <definedName name="EQ_PREF">#REF!</definedName>
    <definedName name="EQ_PRFD" localSheetId="0">#REF!</definedName>
    <definedName name="EQ_PRFD">#REF!</definedName>
    <definedName name="EQ_SSN" localSheetId="0">#REF!</definedName>
    <definedName name="EQ_SSN">#REF!</definedName>
    <definedName name="eqb" localSheetId="0">#REF!</definedName>
    <definedName name="eqb">#REF!</definedName>
    <definedName name="equity" localSheetId="0">#REF!</definedName>
    <definedName name="equity">#REF!</definedName>
    <definedName name="equityOverrideCell">'Dashboard'!#REF!</definedName>
    <definedName name="euribor" localSheetId="0">#REF!</definedName>
    <definedName name="euribor">#REF!</definedName>
    <definedName name="evergreen_ar" localSheetId="0">#REF!</definedName>
    <definedName name="evergreen_ar">#REF!</definedName>
    <definedName name="evergreen_inv" localSheetId="0">#REF!</definedName>
    <definedName name="evergreen_inv">#REF!</definedName>
    <definedName name="Exc_posttax_gain" localSheetId="0">#REF!</definedName>
    <definedName name="Exc_posttax_gain">#REF!</definedName>
    <definedName name="Exc_posttax_gaineq" localSheetId="0">#REF!</definedName>
    <definedName name="Exc_posttax_gaineq">#REF!</definedName>
    <definedName name="Exc_pretax_loss" localSheetId="0">#REF!</definedName>
    <definedName name="Exc_pretax_loss">#REF!</definedName>
    <definedName name="Exc_pretax_losseq" localSheetId="0">#REF!</definedName>
    <definedName name="Exc_pretax_losseq">#REF!</definedName>
    <definedName name="Exceptional_Pretax_Loss__gain" localSheetId="0">#REF!</definedName>
    <definedName name="Exceptional_Pretax_Loss__gain">#REF!</definedName>
    <definedName name="Exceptional_Pretax_Loss__gain_2" localSheetId="0">#REF!</definedName>
    <definedName name="Exceptional_Pretax_Loss__gain_2">#REF!</definedName>
    <definedName name="Exceptional_Pretax_Loss__gain_F" localSheetId="0">#REF!</definedName>
    <definedName name="Exceptional_Pretax_Loss__gain_F">#REF!</definedName>
    <definedName name="exch" localSheetId="0">'[8]Input'!#REF!</definedName>
    <definedName name="exch">'[8]Input'!#REF!</definedName>
    <definedName name="exchange_ratio" localSheetId="0">#REF!</definedName>
    <definedName name="exchange_ratio">#REF!</definedName>
    <definedName name="exhibit_letter">'[12]Assumptions and Inputs (2)'!$D$19</definedName>
    <definedName name="exp_calc_total" localSheetId="0">#REF!</definedName>
    <definedName name="exp_calc_total">#REF!</definedName>
    <definedName name="exp_detail_1" localSheetId="0">'[4]General Departmental Expenses'!#REF!,'[4]General Departmental Expenses'!$D$178:$V$178,'[4]General Departmental Expenses'!$D$195:$V$195,'[4]General Departmental Expenses'!$D$251:$V$251,'[4]General Departmental Expenses'!$D$301:$V$301</definedName>
    <definedName name="exp_detail_1">'[4]General Departmental Expenses'!#REF!,'[4]General Departmental Expenses'!$D$178:$V$178,'[4]General Departmental Expenses'!$D$195:$V$195,'[4]General Departmental Expenses'!$D$251:$V$251,'[4]General Departmental Expenses'!$D$301:$V$301</definedName>
    <definedName name="exp_detail_2" localSheetId="0">'[4]General Departmental Expenses'!$D$363:$V$363,'[4]General Departmental Expenses'!#REF!,'[4]General Departmental Expenses'!#REF!,'[4]General Departmental Expenses'!#REF!,'[4]General Departmental Expenses'!#REF!</definedName>
    <definedName name="exp_detail_2">'[4]General Departmental Expenses'!$D$363:$V$363,'[4]General Departmental Expenses'!#REF!,'[4]General Departmental Expenses'!#REF!,'[4]General Departmental Expenses'!#REF!,'[4]General Departmental Expenses'!#REF!</definedName>
    <definedName name="exp_detail_3" localSheetId="0">'[4]General Departmental Expenses'!#REF!,'[4]General Departmental Expenses'!$D$397:$V$397,'[4]General Departmental Expenses'!$D$417:$V$417,'[4]General Departmental Expenses'!$D$450:$V$450,'[4]General Departmental Expenses'!$D$498:$V$498</definedName>
    <definedName name="exp_detail_3">'[4]General Departmental Expenses'!#REF!,'[4]General Departmental Expenses'!$D$397:$V$397,'[4]General Departmental Expenses'!$D$417:$V$417,'[4]General Departmental Expenses'!$D$450:$V$450,'[4]General Departmental Expenses'!$D$498:$V$498</definedName>
    <definedName name="exp_detail_4" localSheetId="0">'[4]General Departmental Expenses'!#REF!,'[4]General Departmental Expenses'!$D$555:$V$555</definedName>
    <definedName name="exp_detail_4">'[4]General Departmental Expenses'!#REF!,'[4]General Departmental Expenses'!$D$555:$V$555</definedName>
    <definedName name="exp_summ_1">'[4]General Departmental Expenses'!$V$22,'[4]General Departmental Expenses'!$V$195,'[4]General Departmental Expenses'!$V$251,'[4]General Departmental Expenses'!$V$300</definedName>
    <definedName name="exp_summ_2" localSheetId="0">'[4]General Departmental Expenses'!$V$351,'[4]General Departmental Expenses'!#REF!,'[4]General Departmental Expenses'!#REF!,'[4]General Departmental Expenses'!#REF!</definedName>
    <definedName name="exp_summ_2">'[4]General Departmental Expenses'!$V$351,'[4]General Departmental Expenses'!#REF!,'[4]General Departmental Expenses'!#REF!,'[4]General Departmental Expenses'!#REF!</definedName>
    <definedName name="exp_summ_3" localSheetId="0">'[4]General Departmental Expenses'!#REF!,'[4]General Departmental Expenses'!$V$396,'[4]General Departmental Expenses'!$V$406,'[4]General Departmental Expenses'!$V$450,'[4]General Departmental Expenses'!$V$499</definedName>
    <definedName name="exp_summ_3">'[4]General Departmental Expenses'!#REF!,'[4]General Departmental Expenses'!$V$396,'[4]General Departmental Expenses'!$V$406,'[4]General Departmental Expenses'!$V$450,'[4]General Departmental Expenses'!$V$499</definedName>
    <definedName name="exp_total" localSheetId="0">#REF!</definedName>
    <definedName name="exp_total">#REF!</definedName>
    <definedName name="expand_admissions" localSheetId="0">#REF!,#REF!,#REF!,#REF!</definedName>
    <definedName name="expand_admissions">#REF!,#REF!,#REF!,#REF!</definedName>
    <definedName name="expand_admissions_copy" localSheetId="0">#REF!</definedName>
    <definedName name="expand_admissions_copy">#REF!</definedName>
    <definedName name="expand_area" localSheetId="0">#REF!,#REF!,#REF!,#REF!</definedName>
    <definedName name="expand_area">#REF!,#REF!,#REF!,#REF!</definedName>
    <definedName name="expand_area_copy" localSheetId="0">#REF!</definedName>
    <definedName name="expand_area_copy">#REF!</definedName>
    <definedName name="expand_billing" localSheetId="0">#REF!,#REF!,#REF!,#REF!</definedName>
    <definedName name="expand_billing">#REF!,#REF!,#REF!,#REF!</definedName>
    <definedName name="expand_billing_copy" localSheetId="0">#REF!</definedName>
    <definedName name="expand_billing_copy">#REF!</definedName>
    <definedName name="expand_branch" localSheetId="0">#REF!,#REF!,#REF!,#REF!</definedName>
    <definedName name="expand_branch">#REF!,#REF!,#REF!,#REF!</definedName>
    <definedName name="expand_branch_copy" localSheetId="0">#REF!</definedName>
    <definedName name="expand_branch_copy">#REF!</definedName>
    <definedName name="expand_delivery" localSheetId="0">#REF!,#REF!,#REF!,#REF!</definedName>
    <definedName name="expand_delivery">#REF!,#REF!,#REF!,#REF!</definedName>
    <definedName name="expand_delivery_copy" localSheetId="0">#REF!</definedName>
    <definedName name="expand_delivery_copy">#REF!</definedName>
    <definedName name="expand_hprs" localSheetId="0">#REF!,#REF!,#REF!,#REF!</definedName>
    <definedName name="expand_hprs">#REF!,#REF!,#REF!,#REF!</definedName>
    <definedName name="expand_hprs_copy" localSheetId="0">#REF!</definedName>
    <definedName name="expand_hprs_copy">#REF!</definedName>
    <definedName name="expand_nursing" localSheetId="0">#REF!,#REF!,#REF!,#REF!</definedName>
    <definedName name="expand_nursing">#REF!,#REF!,#REF!,#REF!</definedName>
    <definedName name="expand_nursing_admin" localSheetId="0">#REF!,#REF!,#REF!,#REF!</definedName>
    <definedName name="expand_nursing_admin">#REF!,#REF!,#REF!,#REF!</definedName>
    <definedName name="expand_nursing_admin_copy" localSheetId="0">#REF!</definedName>
    <definedName name="expand_nursing_admin_copy">#REF!</definedName>
    <definedName name="expand_nursing_copy" localSheetId="0">#REF!</definedName>
    <definedName name="expand_nursing_copy">#REF!</definedName>
    <definedName name="expand_other_clin" localSheetId="0">#REF!,#REF!,#REF!,#REF!</definedName>
    <definedName name="expand_other_clin">#REF!,#REF!,#REF!,#REF!</definedName>
    <definedName name="expand_other_clin_copy" localSheetId="0">#REF!</definedName>
    <definedName name="expand_other_clin_copy">#REF!</definedName>
    <definedName name="expand_pharm_clin" localSheetId="0">#REF!,#REF!,#REF!,#REF!</definedName>
    <definedName name="expand_pharm_clin">#REF!,#REF!,#REF!,#REF!</definedName>
    <definedName name="expand_pharm_clin_copy" localSheetId="0">#REF!</definedName>
    <definedName name="expand_pharm_clin_copy">#REF!</definedName>
    <definedName name="expand_pharm_prod" localSheetId="0">#REF!,#REF!,#REF!,#REF!</definedName>
    <definedName name="expand_pharm_prod">#REF!,#REF!,#REF!,#REF!</definedName>
    <definedName name="expand_pharm_prod_copy" localSheetId="0">#REF!</definedName>
    <definedName name="expand_pharm_prod_copy">#REF!</definedName>
    <definedName name="expand_selling" localSheetId="0">#REF!,#REF!,#REF!,#REF!</definedName>
    <definedName name="expand_selling">#REF!,#REF!,#REF!,#REF!</definedName>
    <definedName name="expand_selling_copy" localSheetId="0">#REF!</definedName>
    <definedName name="expand_selling_copy">#REF!</definedName>
    <definedName name="expand_vendor" localSheetId="0">#REF!,#REF!</definedName>
    <definedName name="expand_vendor">#REF!,#REF!</definedName>
    <definedName name="expand_vendor_copy" localSheetId="0">#REF!</definedName>
    <definedName name="expand_vendor_copy">#REF!</definedName>
    <definedName name="expand_wrhs" localSheetId="0">#REF!,#REF!,#REF!,#REF!</definedName>
    <definedName name="expand_wrhs">#REF!,#REF!,#REF!,#REF!</definedName>
    <definedName name="expand_wrhs_copy" localSheetId="0">#REF!</definedName>
    <definedName name="expand_wrhs_copy">#REF!</definedName>
    <definedName name="EXPP" localSheetId="0">#REF!</definedName>
    <definedName name="EXPP">#REF!</definedName>
    <definedName name="ExtRngName" localSheetId="0">#REF!</definedName>
    <definedName name="ExtRngName">#REF!</definedName>
    <definedName name="FDP_0_1_aUrv" localSheetId="0" hidden="1">#REF!</definedName>
    <definedName name="FDP_0_1_aUrv" hidden="1">#REF!</definedName>
    <definedName name="FDP_1_1_aUrv" localSheetId="0" hidden="1">#REF!</definedName>
    <definedName name="FDP_1_1_aUrv" hidden="1">#REF!</definedName>
    <definedName name="FDP_10_1_aDrv" localSheetId="0" hidden="1">#REF!</definedName>
    <definedName name="FDP_10_1_aDrv" hidden="1">#REF!</definedName>
    <definedName name="FDP_100_1_aUrv" localSheetId="0" hidden="1">#REF!</definedName>
    <definedName name="FDP_100_1_aUrv" hidden="1">#REF!</definedName>
    <definedName name="FDP_101_1_aUrv" localSheetId="0" hidden="1">#REF!</definedName>
    <definedName name="FDP_101_1_aUrv" hidden="1">#REF!</definedName>
    <definedName name="FDP_102_1_aUrv" localSheetId="0" hidden="1">#REF!</definedName>
    <definedName name="FDP_102_1_aUrv" hidden="1">#REF!</definedName>
    <definedName name="FDP_103_1_aUrv" localSheetId="0" hidden="1">#REF!</definedName>
    <definedName name="FDP_103_1_aUrv" hidden="1">#REF!</definedName>
    <definedName name="FDP_104_1_aUrv" localSheetId="0" hidden="1">#REF!</definedName>
    <definedName name="FDP_104_1_aUrv" hidden="1">#REF!</definedName>
    <definedName name="FDP_105_1_aUrv" localSheetId="0" hidden="1">#REF!</definedName>
    <definedName name="FDP_105_1_aUrv" hidden="1">#REF!</definedName>
    <definedName name="FDP_106_1_aUrv" localSheetId="0" hidden="1">#REF!</definedName>
    <definedName name="FDP_106_1_aUrv" hidden="1">#REF!</definedName>
    <definedName name="FDP_107_1_aUrv" localSheetId="0" hidden="1">#REF!</definedName>
    <definedName name="FDP_107_1_aUrv" hidden="1">#REF!</definedName>
    <definedName name="FDP_108_1_aUrv" localSheetId="0" hidden="1">#REF!</definedName>
    <definedName name="FDP_108_1_aUrv" hidden="1">#REF!</definedName>
    <definedName name="FDP_109_1_aUrv" localSheetId="0" hidden="1">#REF!</definedName>
    <definedName name="FDP_109_1_aUrv" hidden="1">#REF!</definedName>
    <definedName name="FDP_11_1_aDrv" localSheetId="0" hidden="1">#REF!</definedName>
    <definedName name="FDP_11_1_aDrv" hidden="1">#REF!</definedName>
    <definedName name="FDP_110_1_aUrv" localSheetId="0" hidden="1">#REF!</definedName>
    <definedName name="FDP_110_1_aUrv" hidden="1">#REF!</definedName>
    <definedName name="FDP_111_1_aUrv" localSheetId="0" hidden="1">#REF!</definedName>
    <definedName name="FDP_111_1_aUrv" hidden="1">#REF!</definedName>
    <definedName name="FDP_112_1_aUrv" localSheetId="0" hidden="1">#REF!</definedName>
    <definedName name="FDP_112_1_aUrv" hidden="1">#REF!</definedName>
    <definedName name="FDP_113_1_aUrv" localSheetId="0" hidden="1">#REF!</definedName>
    <definedName name="FDP_113_1_aUrv" hidden="1">#REF!</definedName>
    <definedName name="FDP_114_1_aUrv" localSheetId="0" hidden="1">#REF!</definedName>
    <definedName name="FDP_114_1_aUrv" hidden="1">#REF!</definedName>
    <definedName name="FDP_115_1_aUrv" localSheetId="0" hidden="1">#REF!</definedName>
    <definedName name="FDP_115_1_aUrv" hidden="1">#REF!</definedName>
    <definedName name="FDP_116_1_aUrv" localSheetId="0" hidden="1">#REF!</definedName>
    <definedName name="FDP_116_1_aUrv" hidden="1">#REF!</definedName>
    <definedName name="FDP_117_1_aUrv" localSheetId="0" hidden="1">#REF!</definedName>
    <definedName name="FDP_117_1_aUrv" hidden="1">#REF!</definedName>
    <definedName name="FDP_118_1_aUrv" localSheetId="0" hidden="1">#REF!</definedName>
    <definedName name="FDP_118_1_aUrv" hidden="1">#REF!</definedName>
    <definedName name="FDP_119_1_aUrv" localSheetId="0" hidden="1">#REF!</definedName>
    <definedName name="FDP_119_1_aUrv" hidden="1">#REF!</definedName>
    <definedName name="FDP_12_1_aDrv" localSheetId="0" hidden="1">#REF!</definedName>
    <definedName name="FDP_12_1_aDrv" hidden="1">#REF!</definedName>
    <definedName name="FDP_120_1_aUrv" localSheetId="0" hidden="1">#REF!</definedName>
    <definedName name="FDP_120_1_aUrv" hidden="1">#REF!</definedName>
    <definedName name="FDP_121_1_aUrv" localSheetId="0" hidden="1">#REF!</definedName>
    <definedName name="FDP_121_1_aUrv" hidden="1">#REF!</definedName>
    <definedName name="FDP_122_1_aUrv" localSheetId="0" hidden="1">#REF!</definedName>
    <definedName name="FDP_122_1_aUrv" hidden="1">#REF!</definedName>
    <definedName name="FDP_123_1_aUrv" localSheetId="0" hidden="1">#REF!</definedName>
    <definedName name="FDP_123_1_aUrv" hidden="1">#REF!</definedName>
    <definedName name="FDP_124_1_aUrv" localSheetId="0" hidden="1">#REF!</definedName>
    <definedName name="FDP_124_1_aUrv" hidden="1">#REF!</definedName>
    <definedName name="FDP_125_1_aUrv" localSheetId="0" hidden="1">#REF!</definedName>
    <definedName name="FDP_125_1_aUrv" hidden="1">#REF!</definedName>
    <definedName name="FDP_126_1_aUrv" localSheetId="0" hidden="1">#REF!</definedName>
    <definedName name="FDP_126_1_aUrv" hidden="1">#REF!</definedName>
    <definedName name="FDP_127_1_aUrv" localSheetId="0" hidden="1">#REF!</definedName>
    <definedName name="FDP_127_1_aUrv" hidden="1">#REF!</definedName>
    <definedName name="FDP_128_1_aUrv" localSheetId="0" hidden="1">#REF!</definedName>
    <definedName name="FDP_128_1_aUrv" hidden="1">#REF!</definedName>
    <definedName name="FDP_129_1_aUrv" localSheetId="0" hidden="1">#REF!</definedName>
    <definedName name="FDP_129_1_aUrv" hidden="1">#REF!</definedName>
    <definedName name="FDP_13_1_aUrv" localSheetId="0" hidden="1">#REF!</definedName>
    <definedName name="FDP_13_1_aUrv" hidden="1">#REF!</definedName>
    <definedName name="FDP_130_1_aUrv" localSheetId="0" hidden="1">#REF!</definedName>
    <definedName name="FDP_130_1_aUrv" hidden="1">#REF!</definedName>
    <definedName name="FDP_131_1_aSrv" localSheetId="0" hidden="1">#REF!</definedName>
    <definedName name="FDP_131_1_aSrv" hidden="1">#REF!</definedName>
    <definedName name="FDP_132_1_aUrv" localSheetId="0" hidden="1">#REF!</definedName>
    <definedName name="FDP_132_1_aUrv" hidden="1">#REF!</definedName>
    <definedName name="FDP_133_1_aUrv" localSheetId="0" hidden="1">#REF!</definedName>
    <definedName name="FDP_133_1_aUrv" hidden="1">#REF!</definedName>
    <definedName name="FDP_134_1_aUrv" localSheetId="0" hidden="1">#REF!</definedName>
    <definedName name="FDP_134_1_aUrv" hidden="1">#REF!</definedName>
    <definedName name="FDP_135_1_aUrv" localSheetId="0" hidden="1">#REF!</definedName>
    <definedName name="FDP_135_1_aUrv" hidden="1">#REF!</definedName>
    <definedName name="FDP_136_1_aSrv" localSheetId="0" hidden="1">#REF!</definedName>
    <definedName name="FDP_136_1_aSrv" hidden="1">#REF!</definedName>
    <definedName name="FDP_137_1_aUrv" localSheetId="0" hidden="1">#REF!</definedName>
    <definedName name="FDP_137_1_aUrv" hidden="1">#REF!</definedName>
    <definedName name="FDP_138_1_aUrv" localSheetId="0" hidden="1">#REF!</definedName>
    <definedName name="FDP_138_1_aUrv" hidden="1">#REF!</definedName>
    <definedName name="FDP_139_1_aUrv" localSheetId="0" hidden="1">#REF!</definedName>
    <definedName name="FDP_139_1_aUrv" hidden="1">#REF!</definedName>
    <definedName name="FDP_14_1_aUrv" localSheetId="0" hidden="1">#REF!</definedName>
    <definedName name="FDP_14_1_aUrv" hidden="1">#REF!</definedName>
    <definedName name="FDP_140_1_aUrv" localSheetId="0" hidden="1">#REF!</definedName>
    <definedName name="FDP_140_1_aUrv" hidden="1">#REF!</definedName>
    <definedName name="FDP_141_1_aUrv" localSheetId="0" hidden="1">#REF!</definedName>
    <definedName name="FDP_141_1_aUrv" hidden="1">#REF!</definedName>
    <definedName name="FDP_142_1_aUrv" localSheetId="0" hidden="1">#REF!</definedName>
    <definedName name="FDP_142_1_aUrv" hidden="1">#REF!</definedName>
    <definedName name="FDP_143_1_aUrv" localSheetId="0" hidden="1">#REF!</definedName>
    <definedName name="FDP_143_1_aUrv" hidden="1">#REF!</definedName>
    <definedName name="FDP_144_1_aUrv" localSheetId="0" hidden="1">#REF!</definedName>
    <definedName name="FDP_144_1_aUrv" hidden="1">#REF!</definedName>
    <definedName name="FDP_145_1_aUrv" localSheetId="0" hidden="1">#REF!</definedName>
    <definedName name="FDP_145_1_aUrv" hidden="1">#REF!</definedName>
    <definedName name="FDP_146_1_aUrv" localSheetId="0" hidden="1">#REF!</definedName>
    <definedName name="FDP_146_1_aUrv" hidden="1">#REF!</definedName>
    <definedName name="FDP_147_1_aUrv" localSheetId="0" hidden="1">#REF!</definedName>
    <definedName name="FDP_147_1_aUrv" hidden="1">#REF!</definedName>
    <definedName name="FDP_148_1_aUrv" localSheetId="0" hidden="1">#REF!</definedName>
    <definedName name="FDP_148_1_aUrv" hidden="1">#REF!</definedName>
    <definedName name="FDP_149_1_aUrv" localSheetId="0" hidden="1">#REF!</definedName>
    <definedName name="FDP_149_1_aUrv" hidden="1">#REF!</definedName>
    <definedName name="FDP_15_1_aUrv" localSheetId="0" hidden="1">#REF!</definedName>
    <definedName name="FDP_15_1_aUrv" hidden="1">#REF!</definedName>
    <definedName name="FDP_150_1_aSrv" localSheetId="0" hidden="1">#REF!</definedName>
    <definedName name="FDP_150_1_aSrv" hidden="1">#REF!</definedName>
    <definedName name="FDP_151_1_aUrv" localSheetId="0" hidden="1">#REF!</definedName>
    <definedName name="FDP_151_1_aUrv" hidden="1">#REF!</definedName>
    <definedName name="FDP_152_1_aSrv" localSheetId="0" hidden="1">#REF!</definedName>
    <definedName name="FDP_152_1_aSrv" hidden="1">#REF!</definedName>
    <definedName name="FDP_153_1_aUrv" localSheetId="0" hidden="1">#REF!</definedName>
    <definedName name="FDP_153_1_aUrv" hidden="1">#REF!</definedName>
    <definedName name="FDP_154_1_aSrv" localSheetId="0" hidden="1">#REF!</definedName>
    <definedName name="FDP_154_1_aSrv" hidden="1">#REF!</definedName>
    <definedName name="FDP_155_1_aUrv" localSheetId="0" hidden="1">#REF!</definedName>
    <definedName name="FDP_155_1_aUrv" hidden="1">#REF!</definedName>
    <definedName name="FDP_156_1_aSrv" localSheetId="0" hidden="1">#REF!</definedName>
    <definedName name="FDP_156_1_aSrv" hidden="1">#REF!</definedName>
    <definedName name="FDP_157_1_aUrv" localSheetId="0" hidden="1">#REF!</definedName>
    <definedName name="FDP_157_1_aUrv" hidden="1">#REF!</definedName>
    <definedName name="FDP_158_1_aSrv" localSheetId="0" hidden="1">#REF!</definedName>
    <definedName name="FDP_158_1_aSrv" hidden="1">#REF!</definedName>
    <definedName name="FDP_159_1_aUrv" localSheetId="0" hidden="1">#REF!</definedName>
    <definedName name="FDP_159_1_aUrv" hidden="1">#REF!</definedName>
    <definedName name="FDP_16_1_aUrv" localSheetId="0" hidden="1">#REF!</definedName>
    <definedName name="FDP_16_1_aUrv" hidden="1">#REF!</definedName>
    <definedName name="FDP_160_1_aSrv" localSheetId="0" hidden="1">#REF!</definedName>
    <definedName name="FDP_160_1_aSrv" hidden="1">#REF!</definedName>
    <definedName name="FDP_161_1_aDrv" localSheetId="0" hidden="1">#REF!</definedName>
    <definedName name="FDP_161_1_aDrv" hidden="1">#REF!</definedName>
    <definedName name="FDP_162_1_aDrv" localSheetId="0" hidden="1">#REF!</definedName>
    <definedName name="FDP_162_1_aDrv" hidden="1">#REF!</definedName>
    <definedName name="FDP_163_1_aDrv" localSheetId="0" hidden="1">#REF!</definedName>
    <definedName name="FDP_163_1_aDrv" hidden="1">#REF!</definedName>
    <definedName name="FDP_164_1_aDrv" localSheetId="0" hidden="1">#REF!</definedName>
    <definedName name="FDP_164_1_aDrv" hidden="1">#REF!</definedName>
    <definedName name="FDP_165_1_aDrv" localSheetId="0" hidden="1">#REF!</definedName>
    <definedName name="FDP_165_1_aDrv" hidden="1">#REF!</definedName>
    <definedName name="FDP_166_1_aDrv" localSheetId="0" hidden="1">#REF!</definedName>
    <definedName name="FDP_166_1_aDrv" hidden="1">#REF!</definedName>
    <definedName name="FDP_167_1_aDrv" localSheetId="0" hidden="1">#REF!</definedName>
    <definedName name="FDP_167_1_aDrv" hidden="1">#REF!</definedName>
    <definedName name="FDP_168_1_aDrv" localSheetId="0" hidden="1">#REF!</definedName>
    <definedName name="FDP_168_1_aDrv" hidden="1">#REF!</definedName>
    <definedName name="FDP_169_1_aDrv" localSheetId="0" hidden="1">#REF!</definedName>
    <definedName name="FDP_169_1_aDrv" hidden="1">#REF!</definedName>
    <definedName name="FDP_17_1_aUrv" localSheetId="0" hidden="1">#REF!</definedName>
    <definedName name="FDP_17_1_aUrv" hidden="1">#REF!</definedName>
    <definedName name="FDP_170_1_aDrv" localSheetId="0" hidden="1">#REF!</definedName>
    <definedName name="FDP_170_1_aDrv" hidden="1">#REF!</definedName>
    <definedName name="FDP_171_1_aDrv" localSheetId="0" hidden="1">#REF!</definedName>
    <definedName name="FDP_171_1_aDrv" hidden="1">#REF!</definedName>
    <definedName name="FDP_172_1_aDrv" localSheetId="0" hidden="1">#REF!</definedName>
    <definedName name="FDP_172_1_aDrv" hidden="1">#REF!</definedName>
    <definedName name="FDP_173_1_aDrv" localSheetId="0" hidden="1">#REF!</definedName>
    <definedName name="FDP_173_1_aDrv" hidden="1">#REF!</definedName>
    <definedName name="FDP_174_1_aUrv" localSheetId="0" hidden="1">#REF!</definedName>
    <definedName name="FDP_174_1_aUrv" hidden="1">#REF!</definedName>
    <definedName name="FDP_175_1_aUrv" localSheetId="0" hidden="1">#REF!</definedName>
    <definedName name="FDP_175_1_aUrv" hidden="1">#REF!</definedName>
    <definedName name="FDP_176_1_aUrv" localSheetId="0" hidden="1">#REF!</definedName>
    <definedName name="FDP_176_1_aUrv" hidden="1">#REF!</definedName>
    <definedName name="FDP_177_1_aUrv" localSheetId="0" hidden="1">#REF!</definedName>
    <definedName name="FDP_177_1_aUrv" hidden="1">#REF!</definedName>
    <definedName name="FDP_178_1_aUrv" localSheetId="0" hidden="1">#REF!</definedName>
    <definedName name="FDP_178_1_aUrv" hidden="1">#REF!</definedName>
    <definedName name="FDP_179_1_aUrv" localSheetId="0" hidden="1">#REF!</definedName>
    <definedName name="FDP_179_1_aUrv" hidden="1">#REF!</definedName>
    <definedName name="FDP_18_1_aUrv" localSheetId="0" hidden="1">#REF!</definedName>
    <definedName name="FDP_18_1_aUrv" hidden="1">#REF!</definedName>
    <definedName name="FDP_180_1_aUdv" localSheetId="0" hidden="1">#REF!</definedName>
    <definedName name="FDP_180_1_aUdv" hidden="1">#REF!</definedName>
    <definedName name="FDP_181_1_aUdv" localSheetId="0" hidden="1">#REF!</definedName>
    <definedName name="FDP_181_1_aUdv" hidden="1">#REF!</definedName>
    <definedName name="FDP_182_1_aUdv" localSheetId="0" hidden="1">#REF!</definedName>
    <definedName name="FDP_182_1_aUdv" hidden="1">#REF!</definedName>
    <definedName name="FDP_183_1_aUdv" localSheetId="0" hidden="1">#REF!</definedName>
    <definedName name="FDP_183_1_aUdv" hidden="1">#REF!</definedName>
    <definedName name="FDP_184_1_aUdv" localSheetId="0" hidden="1">#REF!</definedName>
    <definedName name="FDP_184_1_aUdv" hidden="1">#REF!</definedName>
    <definedName name="FDP_185_1_aUdv" localSheetId="0" hidden="1">#REF!</definedName>
    <definedName name="FDP_185_1_aUdv" hidden="1">#REF!</definedName>
    <definedName name="FDP_186_1_aUdv" localSheetId="0" hidden="1">#REF!</definedName>
    <definedName name="FDP_186_1_aUdv" hidden="1">#REF!</definedName>
    <definedName name="FDP_187_1_aUdv" localSheetId="0" hidden="1">#REF!</definedName>
    <definedName name="FDP_187_1_aUdv" hidden="1">#REF!</definedName>
    <definedName name="FDP_188_1_aUdv" localSheetId="0" hidden="1">#REF!</definedName>
    <definedName name="FDP_188_1_aUdv" hidden="1">#REF!</definedName>
    <definedName name="FDP_189_1_aUdv" localSheetId="0" hidden="1">#REF!</definedName>
    <definedName name="FDP_189_1_aUdv" hidden="1">#REF!</definedName>
    <definedName name="FDP_19_1_aUrv" localSheetId="0" hidden="1">#REF!</definedName>
    <definedName name="FDP_19_1_aUrv" hidden="1">#REF!</definedName>
    <definedName name="FDP_190_1_aUdv" localSheetId="0" hidden="1">#REF!</definedName>
    <definedName name="FDP_190_1_aUdv" hidden="1">#REF!</definedName>
    <definedName name="FDP_191_1_aUdv" localSheetId="0" hidden="1">#REF!</definedName>
    <definedName name="FDP_191_1_aUdv" hidden="1">#REF!</definedName>
    <definedName name="FDP_192_1_aUdv" localSheetId="0" hidden="1">#REF!</definedName>
    <definedName name="FDP_192_1_aUdv" hidden="1">#REF!</definedName>
    <definedName name="FDP_193_1_aUdv" localSheetId="0" hidden="1">#REF!</definedName>
    <definedName name="FDP_193_1_aUdv" hidden="1">#REF!</definedName>
    <definedName name="FDP_194_1_aUdv" localSheetId="0" hidden="1">#REF!</definedName>
    <definedName name="FDP_194_1_aUdv" hidden="1">#REF!</definedName>
    <definedName name="FDP_195_1_aUdv" localSheetId="0" hidden="1">#REF!</definedName>
    <definedName name="FDP_195_1_aUdv" hidden="1">#REF!</definedName>
    <definedName name="FDP_196_1_aUdv" localSheetId="0" hidden="1">#REF!</definedName>
    <definedName name="FDP_196_1_aUdv" hidden="1">#REF!</definedName>
    <definedName name="FDP_196_1aUdv1" localSheetId="0" hidden="1">#REF!</definedName>
    <definedName name="FDP_196_1aUdv1" hidden="1">#REF!</definedName>
    <definedName name="FDP_197_1_aUdv" localSheetId="0" hidden="1">#REF!</definedName>
    <definedName name="FDP_197_1_aUdv" hidden="1">#REF!</definedName>
    <definedName name="FDP_198_1_aUdv" localSheetId="0" hidden="1">#REF!</definedName>
    <definedName name="FDP_198_1_aUdv" hidden="1">#REF!</definedName>
    <definedName name="FDP_199_1_aUdv" localSheetId="0" hidden="1">#REF!</definedName>
    <definedName name="FDP_199_1_aUdv" hidden="1">#REF!</definedName>
    <definedName name="FDP_2_1_aUrv" localSheetId="0" hidden="1">#REF!</definedName>
    <definedName name="FDP_2_1_aUrv" hidden="1">#REF!</definedName>
    <definedName name="FDP_20_1_aUrv" localSheetId="0" hidden="1">#REF!</definedName>
    <definedName name="FDP_20_1_aUrv" hidden="1">#REF!</definedName>
    <definedName name="FDP_21_1_aUrv" localSheetId="0" hidden="1">#REF!</definedName>
    <definedName name="FDP_21_1_aUrv" hidden="1">#REF!</definedName>
    <definedName name="FDP_22_1_aUrv" localSheetId="0" hidden="1">#REF!</definedName>
    <definedName name="FDP_22_1_aUrv" hidden="1">#REF!</definedName>
    <definedName name="FDP_23_1_aDrv" localSheetId="0" hidden="1">#REF!</definedName>
    <definedName name="FDP_23_1_aDrv" hidden="1">#REF!</definedName>
    <definedName name="FDP_24_1_aUrv" localSheetId="0" hidden="1">#REF!</definedName>
    <definedName name="FDP_24_1_aUrv" hidden="1">#REF!</definedName>
    <definedName name="FDP_25_1_aUrv" localSheetId="0" hidden="1">#REF!</definedName>
    <definedName name="FDP_25_1_aUrv" hidden="1">#REF!</definedName>
    <definedName name="FDP_26_1_aUrv" localSheetId="0" hidden="1">#REF!</definedName>
    <definedName name="FDP_26_1_aUrv" hidden="1">#REF!</definedName>
    <definedName name="FDP_27_1_aUrv" localSheetId="0" hidden="1">#REF!</definedName>
    <definedName name="FDP_27_1_aUrv" hidden="1">#REF!</definedName>
    <definedName name="FDP_28_1_aUrv" localSheetId="0" hidden="1">#REF!</definedName>
    <definedName name="FDP_28_1_aUrv" hidden="1">#REF!</definedName>
    <definedName name="FDP_29_1_aDrv" localSheetId="0" hidden="1">#REF!</definedName>
    <definedName name="FDP_29_1_aDrv" hidden="1">#REF!</definedName>
    <definedName name="FDP_3_1_aUrv" localSheetId="0" hidden="1">#REF!</definedName>
    <definedName name="FDP_3_1_aUrv" hidden="1">#REF!</definedName>
    <definedName name="FDP_30_1_aUrv" localSheetId="0" hidden="1">#REF!</definedName>
    <definedName name="FDP_30_1_aUrv" hidden="1">#REF!</definedName>
    <definedName name="FDP_31_1_aUrv" localSheetId="0" hidden="1">#REF!</definedName>
    <definedName name="FDP_31_1_aUrv" hidden="1">#REF!</definedName>
    <definedName name="FDP_32_1_aUrv" localSheetId="0" hidden="1">#REF!</definedName>
    <definedName name="FDP_32_1_aUrv" hidden="1">#REF!</definedName>
    <definedName name="FDP_33_1_aUrv" localSheetId="0" hidden="1">#REF!</definedName>
    <definedName name="FDP_33_1_aUrv" hidden="1">#REF!</definedName>
    <definedName name="FDP_34_1_aUrv" localSheetId="0" hidden="1">#REF!</definedName>
    <definedName name="FDP_34_1_aUrv" hidden="1">#REF!</definedName>
    <definedName name="FDP_35_1_aSrv" localSheetId="0" hidden="1">#REF!</definedName>
    <definedName name="FDP_35_1_aSrv" hidden="1">#REF!</definedName>
    <definedName name="FDP_36_1_aUrv" localSheetId="0" hidden="1">#REF!</definedName>
    <definedName name="FDP_36_1_aUrv" hidden="1">#REF!</definedName>
    <definedName name="FDP_37_1_aUrv" localSheetId="0" hidden="1">#REF!</definedName>
    <definedName name="FDP_37_1_aUrv" hidden="1">#REF!</definedName>
    <definedName name="FDP_38_1_aUrv" localSheetId="0" hidden="1">#REF!</definedName>
    <definedName name="FDP_38_1_aUrv" hidden="1">#REF!</definedName>
    <definedName name="FDP_39_1_aUrv" localSheetId="0" hidden="1">#REF!</definedName>
    <definedName name="FDP_39_1_aUrv" hidden="1">#REF!</definedName>
    <definedName name="FDP_4_1_aUrv" localSheetId="0" hidden="1">#REF!</definedName>
    <definedName name="FDP_4_1_aUrv" hidden="1">#REF!</definedName>
    <definedName name="FDP_40_1_aUrv" localSheetId="0" hidden="1">#REF!</definedName>
    <definedName name="FDP_40_1_aUrv" hidden="1">#REF!</definedName>
    <definedName name="FDP_41_1_aSrv" localSheetId="0" hidden="1">#REF!</definedName>
    <definedName name="FDP_41_1_aSrv" hidden="1">#REF!</definedName>
    <definedName name="FDP_42_1_aSrv" localSheetId="0" hidden="1">#REF!</definedName>
    <definedName name="FDP_42_1_aSrv" hidden="1">#REF!</definedName>
    <definedName name="FDP_43_1_aUrv" localSheetId="0" hidden="1">#REF!</definedName>
    <definedName name="FDP_43_1_aUrv" hidden="1">#REF!</definedName>
    <definedName name="FDP_44_1_aUrv" localSheetId="0" hidden="1">#REF!</definedName>
    <definedName name="FDP_44_1_aUrv" hidden="1">#REF!</definedName>
    <definedName name="FDP_45_1_aUrv" localSheetId="0" hidden="1">#REF!</definedName>
    <definedName name="FDP_45_1_aUrv" hidden="1">#REF!</definedName>
    <definedName name="FDP_46_1_aUrv" localSheetId="0" hidden="1">#REF!</definedName>
    <definedName name="FDP_46_1_aUrv" hidden="1">#REF!</definedName>
    <definedName name="FDP_47_1_aUrv" localSheetId="0" hidden="1">#REF!</definedName>
    <definedName name="FDP_47_1_aUrv" hidden="1">#REF!</definedName>
    <definedName name="FDP_48_1_aSrv" localSheetId="0" hidden="1">#REF!</definedName>
    <definedName name="FDP_48_1_aSrv" hidden="1">#REF!</definedName>
    <definedName name="FDP_49_1_aUrv" localSheetId="0" hidden="1">#REF!</definedName>
    <definedName name="FDP_49_1_aUrv" hidden="1">#REF!</definedName>
    <definedName name="FDP_5_1_aUrv" localSheetId="0" hidden="1">#REF!</definedName>
    <definedName name="FDP_5_1_aUrv" hidden="1">#REF!</definedName>
    <definedName name="FDP_50_1_aUrv" localSheetId="0" hidden="1">#REF!</definedName>
    <definedName name="FDP_50_1_aUrv" hidden="1">#REF!</definedName>
    <definedName name="FDP_51_1_aUrv" localSheetId="0" hidden="1">#REF!</definedName>
    <definedName name="FDP_51_1_aUrv" hidden="1">#REF!</definedName>
    <definedName name="FDP_52_1_aUrv" localSheetId="0" hidden="1">#REF!</definedName>
    <definedName name="FDP_52_1_aUrv" hidden="1">#REF!</definedName>
    <definedName name="FDP_53_1_aUrv" localSheetId="0" hidden="1">#REF!</definedName>
    <definedName name="FDP_53_1_aUrv" hidden="1">#REF!</definedName>
    <definedName name="FDP_54_1_aUrv" localSheetId="0" hidden="1">#REF!</definedName>
    <definedName name="FDP_54_1_aUrv" hidden="1">#REF!</definedName>
    <definedName name="FDP_55_1_aUrv" localSheetId="0" hidden="1">#REF!</definedName>
    <definedName name="FDP_55_1_aUrv" hidden="1">#REF!</definedName>
    <definedName name="FDP_56_1_aUrv" localSheetId="0" hidden="1">#REF!</definedName>
    <definedName name="FDP_56_1_aUrv" hidden="1">#REF!</definedName>
    <definedName name="FDP_57_1_aUrv" localSheetId="0" hidden="1">#REF!</definedName>
    <definedName name="FDP_57_1_aUrv" hidden="1">#REF!</definedName>
    <definedName name="FDP_58_1_aUrv" localSheetId="0" hidden="1">#REF!</definedName>
    <definedName name="FDP_58_1_aUrv" hidden="1">#REF!</definedName>
    <definedName name="FDP_59_1_aUrv" localSheetId="0" hidden="1">#REF!</definedName>
    <definedName name="FDP_59_1_aUrv" hidden="1">#REF!</definedName>
    <definedName name="FDP_6_1_aUrv" localSheetId="0" hidden="1">#REF!</definedName>
    <definedName name="FDP_6_1_aUrv" hidden="1">#REF!</definedName>
    <definedName name="FDP_60_1_aUrv" localSheetId="0" hidden="1">#REF!</definedName>
    <definedName name="FDP_60_1_aUrv" hidden="1">#REF!</definedName>
    <definedName name="FDP_61_1_aSrv" localSheetId="0" hidden="1">#REF!</definedName>
    <definedName name="FDP_61_1_aSrv" hidden="1">#REF!</definedName>
    <definedName name="FDP_62_1_aSrv" localSheetId="0" hidden="1">#REF!</definedName>
    <definedName name="FDP_62_1_aSrv" hidden="1">#REF!</definedName>
    <definedName name="FDP_63_1_aUrv" localSheetId="0" hidden="1">#REF!</definedName>
    <definedName name="FDP_63_1_aUrv" hidden="1">#REF!</definedName>
    <definedName name="FDP_64_1_aSrv" localSheetId="0" hidden="1">#REF!</definedName>
    <definedName name="FDP_64_1_aSrv" hidden="1">#REF!</definedName>
    <definedName name="FDP_65_1_aSrv" localSheetId="0" hidden="1">#REF!</definedName>
    <definedName name="FDP_65_1_aSrv" hidden="1">#REF!</definedName>
    <definedName name="FDP_66_1_aUrv" localSheetId="0" hidden="1">#REF!</definedName>
    <definedName name="FDP_66_1_aUrv" hidden="1">#REF!</definedName>
    <definedName name="FDP_67_1_aUrv" localSheetId="0" hidden="1">#REF!</definedName>
    <definedName name="FDP_67_1_aUrv" hidden="1">#REF!</definedName>
    <definedName name="FDP_68_1_aUrv" localSheetId="0" hidden="1">#REF!</definedName>
    <definedName name="FDP_68_1_aUrv" hidden="1">#REF!</definedName>
    <definedName name="FDP_69_1_aUrv" localSheetId="0" hidden="1">#REF!</definedName>
    <definedName name="FDP_69_1_aUrv" hidden="1">#REF!</definedName>
    <definedName name="FDP_7_1_aUrv" localSheetId="0" hidden="1">#REF!</definedName>
    <definedName name="FDP_7_1_aUrv" hidden="1">#REF!</definedName>
    <definedName name="FDP_70_1_aDrv" localSheetId="0" hidden="1">#REF!</definedName>
    <definedName name="FDP_70_1_aDrv" hidden="1">#REF!</definedName>
    <definedName name="FDP_71_1_aUrv" localSheetId="0" hidden="1">#REF!</definedName>
    <definedName name="FDP_71_1_aUrv" hidden="1">#REF!</definedName>
    <definedName name="FDP_72_1_aDrv" localSheetId="0" hidden="1">#REF!</definedName>
    <definedName name="FDP_72_1_aDrv" hidden="1">#REF!</definedName>
    <definedName name="FDP_73_1_aUrv" localSheetId="0" hidden="1">#REF!</definedName>
    <definedName name="FDP_73_1_aUrv" hidden="1">#REF!</definedName>
    <definedName name="FDP_74_1_aUrv" localSheetId="0" hidden="1">#REF!</definedName>
    <definedName name="FDP_74_1_aUrv" hidden="1">#REF!</definedName>
    <definedName name="FDP_75_1_aSrv" localSheetId="0" hidden="1">#REF!</definedName>
    <definedName name="FDP_75_1_aSrv" hidden="1">#REF!</definedName>
    <definedName name="FDP_76_1_aUrv" localSheetId="0" hidden="1">#REF!</definedName>
    <definedName name="FDP_76_1_aUrv" hidden="1">#REF!</definedName>
    <definedName name="FDP_77_1_aUrv" localSheetId="0" hidden="1">#REF!</definedName>
    <definedName name="FDP_77_1_aUrv" hidden="1">#REF!</definedName>
    <definedName name="FDP_78_1_aUrv" localSheetId="0" hidden="1">#REF!</definedName>
    <definedName name="FDP_78_1_aUrv" hidden="1">#REF!</definedName>
    <definedName name="FDP_79_1_aUrv" localSheetId="0" hidden="1">#REF!</definedName>
    <definedName name="FDP_79_1_aUrv" hidden="1">#REF!</definedName>
    <definedName name="FDP_8_1_aDrv" localSheetId="0" hidden="1">#REF!</definedName>
    <definedName name="FDP_8_1_aDrv" hidden="1">#REF!</definedName>
    <definedName name="FDP_80_1_aUrv" localSheetId="0" hidden="1">#REF!</definedName>
    <definedName name="FDP_80_1_aUrv" hidden="1">#REF!</definedName>
    <definedName name="FDP_81_1_aSrv" localSheetId="0" hidden="1">#REF!</definedName>
    <definedName name="FDP_81_1_aSrv" hidden="1">#REF!</definedName>
    <definedName name="FDP_82_1_aUrv" localSheetId="0" hidden="1">#REF!</definedName>
    <definedName name="FDP_82_1_aUrv" hidden="1">#REF!</definedName>
    <definedName name="FDP_83_1_aSrv" localSheetId="0" hidden="1">#REF!</definedName>
    <definedName name="FDP_83_1_aSrv" hidden="1">#REF!</definedName>
    <definedName name="FDP_84_1_aUrv" localSheetId="0" hidden="1">#REF!</definedName>
    <definedName name="FDP_84_1_aUrv" hidden="1">#REF!</definedName>
    <definedName name="FDP_85_1_aUrv" localSheetId="0" hidden="1">#REF!</definedName>
    <definedName name="FDP_85_1_aUrv" hidden="1">#REF!</definedName>
    <definedName name="FDP_86_1_aUrv" localSheetId="0" hidden="1">#REF!</definedName>
    <definedName name="FDP_86_1_aUrv" hidden="1">#REF!</definedName>
    <definedName name="FDP_87_1_aSrv" localSheetId="0" hidden="1">#REF!</definedName>
    <definedName name="FDP_87_1_aSrv" hidden="1">#REF!</definedName>
    <definedName name="FDP_88_1_aUrv" localSheetId="0" hidden="1">#REF!</definedName>
    <definedName name="FDP_88_1_aUrv" hidden="1">#REF!</definedName>
    <definedName name="FDP_89_1_aSrv" localSheetId="0" hidden="1">#REF!</definedName>
    <definedName name="FDP_89_1_aSrv" hidden="1">#REF!</definedName>
    <definedName name="FDP_9_1_aDrv" localSheetId="0" hidden="1">#REF!</definedName>
    <definedName name="FDP_9_1_aDrv" hidden="1">#REF!</definedName>
    <definedName name="FDP_90_1_aUrv" localSheetId="0" hidden="1">#REF!</definedName>
    <definedName name="FDP_90_1_aUrv" hidden="1">#REF!</definedName>
    <definedName name="FDP_91_1_aUrv" localSheetId="0" hidden="1">#REF!</definedName>
    <definedName name="FDP_91_1_aUrv" hidden="1">#REF!</definedName>
    <definedName name="FDP_92_1_aSrv" localSheetId="0" hidden="1">#REF!</definedName>
    <definedName name="FDP_92_1_aSrv" hidden="1">#REF!</definedName>
    <definedName name="FDP_93_1_aDrv" localSheetId="0" hidden="1">#REF!</definedName>
    <definedName name="FDP_93_1_aDrv" hidden="1">#REF!</definedName>
    <definedName name="FDP_94_1_aUrv" localSheetId="0" hidden="1">#REF!</definedName>
    <definedName name="FDP_94_1_aUrv" hidden="1">#REF!</definedName>
    <definedName name="FDP_95_1_aUrv" localSheetId="0" hidden="1">#REF!</definedName>
    <definedName name="FDP_95_1_aUrv" hidden="1">#REF!</definedName>
    <definedName name="FDP_96_1_aUrv" localSheetId="0" hidden="1">#REF!</definedName>
    <definedName name="FDP_96_1_aUrv" hidden="1">#REF!</definedName>
    <definedName name="FDP_97_1_aUrv" localSheetId="0" hidden="1">#REF!</definedName>
    <definedName name="FDP_97_1_aUrv" hidden="1">#REF!</definedName>
    <definedName name="FDP_98_1_aUrv" localSheetId="0" hidden="1">#REF!</definedName>
    <definedName name="FDP_98_1_aUrv" hidden="1">#REF!</definedName>
    <definedName name="FDP_99_1_aUrv" localSheetId="0" hidden="1">#REF!</definedName>
    <definedName name="FDP_99_1_aUrv" hidden="1">#REF!</definedName>
    <definedName name="FEB" localSheetId="0">#REF!</definedName>
    <definedName name="FEB">#REF!</definedName>
    <definedName name="FED_Equity_Return_Analysis" localSheetId="0">#REF!</definedName>
    <definedName name="FED_Equity_Return_Analysis">#REF!</definedName>
    <definedName name="fedtax" localSheetId="0">#REF!</definedName>
    <definedName name="fedtax">#REF!</definedName>
    <definedName name="FEE" localSheetId="0">#REF!</definedName>
    <definedName name="FEE">#REF!</definedName>
    <definedName name="FINANCE" localSheetId="0">#REF!</definedName>
    <definedName name="FINANCE">#REF!</definedName>
    <definedName name="Financing_Sources_and_Uses" localSheetId="0">#REF!</definedName>
    <definedName name="Financing_Sources_and_Uses">#REF!</definedName>
    <definedName name="fincase" localSheetId="0">'[17]cap'!#REF!</definedName>
    <definedName name="fincase">'[17]cap'!#REF!</definedName>
    <definedName name="FISCAL_YEAR_END">'[12]Assumptions and Inputs (2)'!$D$8</definedName>
    <definedName name="FIVE" localSheetId="0">#REF!</definedName>
    <definedName name="FIVE">#REF!</definedName>
    <definedName name="FLOUR" localSheetId="0">#REF!</definedName>
    <definedName name="FLOUR">#REF!</definedName>
    <definedName name="FMV_BS">'[1]Sheet1'!$A$1:$Y$41</definedName>
    <definedName name="footnote1" localSheetId="0">#REF!</definedName>
    <definedName name="footnote1">#REF!</definedName>
    <definedName name="footnote2" localSheetId="0">#REF!</definedName>
    <definedName name="footnote2">#REF!</definedName>
    <definedName name="footnote3" localSheetId="0">#REF!</definedName>
    <definedName name="footnote3">#REF!</definedName>
    <definedName name="Forward_EPS" localSheetId="0">#REF!</definedName>
    <definedName name="Forward_EPS">#REF!</definedName>
    <definedName name="Forward_EPS_2" localSheetId="0">#REF!</definedName>
    <definedName name="Forward_EPS_2">#REF!</definedName>
    <definedName name="Forward_EPS_F" localSheetId="0">#REF!</definedName>
    <definedName name="Forward_EPS_F">#REF!</definedName>
    <definedName name="FOUR" localSheetId="0">#REF!</definedName>
    <definedName name="FOUR">#REF!</definedName>
    <definedName name="Frequency">'[9]#REF'!$C$3</definedName>
    <definedName name="Future_mult" localSheetId="0">#REF!</definedName>
    <definedName name="Future_mult">#REF!</definedName>
    <definedName name="FY2002S1" localSheetId="0">#REF!</definedName>
    <definedName name="FY2002S1">#REF!</definedName>
    <definedName name="FY2002S2" localSheetId="0">#REF!</definedName>
    <definedName name="FY2002S2">#REF!</definedName>
    <definedName name="FY2002S3" localSheetId="0">#REF!</definedName>
    <definedName name="FY2002S3">#REF!</definedName>
    <definedName name="FY2002S4" localSheetId="0">#REF!</definedName>
    <definedName name="FY2002S4">#REF!</definedName>
    <definedName name="FY2002S5" localSheetId="0">#REF!</definedName>
    <definedName name="FY2002S5">#REF!</definedName>
    <definedName name="FY2002S6" localSheetId="0">#REF!</definedName>
    <definedName name="FY2002S6">#REF!</definedName>
    <definedName name="fye" localSheetId="0">#REF!</definedName>
    <definedName name="fye">#REF!</definedName>
    <definedName name="G.Assumptions" localSheetId="0">#REF!</definedName>
    <definedName name="G.Assumptions">#REF!</definedName>
    <definedName name="G.BookDeprec" localSheetId="0">#REF!</definedName>
    <definedName name="G.BookDeprec">#REF!</definedName>
    <definedName name="G.CloseBalSheet" localSheetId="0">#REF!</definedName>
    <definedName name="G.CloseBalSheet">#REF!</definedName>
    <definedName name="G.ControlPanel" localSheetId="0">#REF!</definedName>
    <definedName name="G.ControlPanel">#REF!</definedName>
    <definedName name="G.Debt" localSheetId="0">#REF!</definedName>
    <definedName name="G.Debt">#REF!</definedName>
    <definedName name="G.DebtTables" localSheetId="0">#REF!</definedName>
    <definedName name="G.DebtTables">#REF!</definedName>
    <definedName name="G.EquitySplit" localSheetId="0">#REF!</definedName>
    <definedName name="G.EquitySplit">#REF!</definedName>
    <definedName name="G.IncomeStmt" localSheetId="0">#REF!</definedName>
    <definedName name="G.IncomeStmt">#REF!</definedName>
    <definedName name="G.Inputs" localSheetId="0">#REF!</definedName>
    <definedName name="G.Inputs">#REF!</definedName>
    <definedName name="G.IntRates" localSheetId="0">#REF!</definedName>
    <definedName name="G.IntRates">#REF!</definedName>
    <definedName name="G.TaxDeprec" localSheetId="0">#REF!</definedName>
    <definedName name="G.TaxDeprec">#REF!</definedName>
    <definedName name="G.Triggers" localSheetId="0">#REF!</definedName>
    <definedName name="G.Triggers">#REF!</definedName>
    <definedName name="Gain__Loss__Post_tax" localSheetId="0">#REF!</definedName>
    <definedName name="Gain__Loss__Post_tax">#REF!</definedName>
    <definedName name="Gain__Loss__Post_tax_2" localSheetId="0">#REF!</definedName>
    <definedName name="Gain__Loss__Post_tax_2">#REF!</definedName>
    <definedName name="Gain_Loss__Post_tax_F" localSheetId="0">#REF!</definedName>
    <definedName name="Gain_Loss__Post_tax_F">#REF!</definedName>
    <definedName name="Gas_Price" localSheetId="0">#REF!</definedName>
    <definedName name="Gas_Price">#REF!</definedName>
    <definedName name="gbp" localSheetId="0">#REF!</definedName>
    <definedName name="gbp">#REF!</definedName>
    <definedName name="gen_exp_section_10" localSheetId="0">'[4]General Departmental Expenses'!#REF!</definedName>
    <definedName name="gen_exp_section_10">'[4]General Departmental Expenses'!#REF!</definedName>
    <definedName name="gen_exp_section_15" localSheetId="0">'[4]General Departmental Expenses'!#REF!</definedName>
    <definedName name="gen_exp_section_15">'[4]General Departmental Expenses'!#REF!</definedName>
    <definedName name="gen_exp_section_16" localSheetId="0">'[4]General Departmental Expenses'!#REF!</definedName>
    <definedName name="gen_exp_section_16">'[4]General Departmental Expenses'!#REF!</definedName>
    <definedName name="gen_exp_section_17" localSheetId="0">'[4]General Departmental Expenses'!#REF!</definedName>
    <definedName name="gen_exp_section_17">'[4]General Departmental Expenses'!#REF!</definedName>
    <definedName name="gen_exp_section_7" localSheetId="0">'[4]General Departmental Expenses'!#REF!</definedName>
    <definedName name="gen_exp_section_7">'[4]General Departmental Expenses'!#REF!</definedName>
    <definedName name="gen_exp_section_8" localSheetId="0">'[4]General Departmental Expenses'!#REF!</definedName>
    <definedName name="gen_exp_section_8">'[4]General Departmental Expenses'!#REF!</definedName>
    <definedName name="gen_exp_section_9" localSheetId="0">'[4]General Departmental Expenses'!#REF!</definedName>
    <definedName name="gen_exp_section_9">'[4]General Departmental Expenses'!#REF!</definedName>
    <definedName name="general_note">'[12]Assumptions and Inputs (2)'!$D$14</definedName>
    <definedName name="grossp" localSheetId="0">#REF!</definedName>
    <definedName name="grossp">#REF!</definedName>
    <definedName name="GROWTH" localSheetId="0">#REF!</definedName>
    <definedName name="GROWTH">#REF!</definedName>
    <definedName name="Growth_Time" localSheetId="0">#REF!</definedName>
    <definedName name="Growth_Time">#REF!</definedName>
    <definedName name="grwth_hormone_gross">'[4]Revenue'!$B$177,'[4]Revenue'!$C$177,'[4]Revenue'!$D$177,'[4]Revenue'!$F$177,'[4]Revenue'!$F$179,'[4]Revenue'!$B$179:$D$179,'[4]Revenue'!$B$181:$D$181,'[4]Revenue'!$F$181,'[4]Revenue'!$F$183,'[4]Revenue'!$B$183:$D$183,'[4]Revenue'!$B$185:$D$185,'[4]Revenue'!$F$185,'[4]Revenue'!$K$185,'[4]Revenue'!$K$183,'[4]Revenue'!$K$181,'[4]Revenue'!$K$179,'[4]Revenue'!$K$177,'[4]Revenue'!$N$177,'[4]Revenue'!$N$179,'[4]Revenue'!$N$181,'[4]Revenue'!$N$183,'[4]Revenue'!$N$185,'[4]Revenue'!$Q$185,'[4]Revenue'!$Q$183,'[4]Revenue'!$Q$181,'[4]Revenue'!$Q$179,'[4]Revenue'!$Q$177,'[4]Revenue'!$T$177,'[4]Revenue'!$T$179</definedName>
    <definedName name="gw" localSheetId="0">#REF!</definedName>
    <definedName name="gw">#REF!</definedName>
    <definedName name="headcount_section_1" localSheetId="0">#REF!</definedName>
    <definedName name="headcount_section_1">#REF!</definedName>
    <definedName name="headcount_section_10" localSheetId="0">#REF!</definedName>
    <definedName name="headcount_section_10">#REF!</definedName>
    <definedName name="headcount_section_11" localSheetId="0">#REF!</definedName>
    <definedName name="headcount_section_11">#REF!</definedName>
    <definedName name="headcount_section_12" localSheetId="0">#REF!</definedName>
    <definedName name="headcount_section_12">#REF!</definedName>
    <definedName name="headcount_section_13" localSheetId="0">#REF!</definedName>
    <definedName name="headcount_section_13">#REF!</definedName>
    <definedName name="headcount_section_2" localSheetId="0">#REF!</definedName>
    <definedName name="headcount_section_2">#REF!</definedName>
    <definedName name="headcount_section_3" localSheetId="0">#REF!</definedName>
    <definedName name="headcount_section_3">#REF!</definedName>
    <definedName name="headcount_section_4" localSheetId="0">#REF!</definedName>
    <definedName name="headcount_section_4">#REF!</definedName>
    <definedName name="headcount_section_5" localSheetId="0">#REF!</definedName>
    <definedName name="headcount_section_5">#REF!</definedName>
    <definedName name="headcount_section_6" localSheetId="0">#REF!</definedName>
    <definedName name="headcount_section_6">#REF!</definedName>
    <definedName name="headcount_section_7" localSheetId="0">#REF!</definedName>
    <definedName name="headcount_section_7">#REF!</definedName>
    <definedName name="headcount_section_8" localSheetId="0">#REF!</definedName>
    <definedName name="headcount_section_8">#REF!</definedName>
    <definedName name="headcount_section_9" localSheetId="0">#REF!</definedName>
    <definedName name="headcount_section_9">#REF!</definedName>
    <definedName name="heading1" localSheetId="0">#REF!</definedName>
    <definedName name="heading1">#REF!</definedName>
    <definedName name="heading2" localSheetId="0">#REF!</definedName>
    <definedName name="heading2">#REF!</definedName>
    <definedName name="hello" localSheetId="0">#REF!</definedName>
    <definedName name="hello">#REF!</definedName>
    <definedName name="Hist" localSheetId="0">#REF!</definedName>
    <definedName name="Hist">#REF!</definedName>
    <definedName name="hist_tax" localSheetId="0">#REF!</definedName>
    <definedName name="hist_tax">#REF!</definedName>
    <definedName name="hist_taxeq" localSheetId="0">#REF!</definedName>
    <definedName name="hist_taxeq">#REF!</definedName>
    <definedName name="Historical_BS" localSheetId="0">#REF!</definedName>
    <definedName name="Historical_BS">#REF!</definedName>
    <definedName name="Historical_Pertinent_BS_Stats" localSheetId="0">'[16]IS'!#REF!</definedName>
    <definedName name="Historical_Pertinent_BS_Stats">'[16]IS'!#REF!</definedName>
    <definedName name="Historical_tax_rate" localSheetId="0">#REF!</definedName>
    <definedName name="Historical_tax_rate">#REF!</definedName>
    <definedName name="Historical_tax_rate_2" localSheetId="0">#REF!</definedName>
    <definedName name="Historical_tax_rate_2">#REF!</definedName>
    <definedName name="Historical_tax_rate_F" localSheetId="0">#REF!</definedName>
    <definedName name="Historical_tax_rate_F">#REF!</definedName>
    <definedName name="HR" localSheetId="0">#REF!</definedName>
    <definedName name="HR">#REF!</definedName>
    <definedName name="hydration_gross">'[4]Revenue'!$B$221,'[4]Revenue'!$B$221:$D$221,'[4]Revenue'!$F$221,'[4]Revenue'!$F$223,'[4]Revenue'!$B$223:$D$223,'[4]Revenue'!$B$225:$D$225,'[4]Revenue'!$F$225,'[4]Revenue'!$F$227,'[4]Revenue'!$B$227:$D$227,'[4]Revenue'!$B$229:$D$229,'[4]Revenue'!$F$229,'[4]Revenue'!$K$221,'[4]Revenue'!$K$223,'[4]Revenue'!$K$225,'[4]Revenue'!$K$227,'[4]Revenue'!$K$229,'[4]Revenue'!$N$229,'[4]Revenue'!$N$227,'[4]Revenue'!$N$225,'[4]Revenue'!$N$223,'[4]Revenue'!$N$221,'[4]Revenue'!$Q$229,'[4]Revenue'!$Q$227,'[4]Revenue'!$Q$225,'[4]Revenue'!$Q$223,'[4]Revenue'!$Q$221,'[4]Revenue'!$T$221,'[4]Revenue'!$T$223</definedName>
    <definedName name="Imp_Mult" localSheetId="0">'[1]Sheet1'!#REF!</definedName>
    <definedName name="Imp_Mult">'[1]Sheet1'!#REF!</definedName>
    <definedName name="INC" localSheetId="0">#REF!</definedName>
    <definedName name="INC">#REF!</definedName>
    <definedName name="INCBuildup" localSheetId="0">#REF!</definedName>
    <definedName name="INCBuildup">#REF!</definedName>
    <definedName name="INCOME" localSheetId="0">#REF!</definedName>
    <definedName name="INCOME">#REF!</definedName>
    <definedName name="Income_Statement" localSheetId="0">#REF!</definedName>
    <definedName name="Income_Statement">#REF!</definedName>
    <definedName name="Int_exp" localSheetId="0">#REF!</definedName>
    <definedName name="Int_exp">#REF!</definedName>
    <definedName name="Int_expeq" localSheetId="0">#REF!</definedName>
    <definedName name="Int_expeq">#REF!</definedName>
    <definedName name="Int_inc" localSheetId="0">#REF!</definedName>
    <definedName name="Int_inc">#REF!</definedName>
    <definedName name="Int_inceq" localSheetId="0">#REF!</definedName>
    <definedName name="Int_inceq">#REF!</definedName>
    <definedName name="int.switch" localSheetId="0">#REF!</definedName>
    <definedName name="int.switch">#REF!</definedName>
    <definedName name="Interest_expense" localSheetId="0">#REF!</definedName>
    <definedName name="Interest_expense">#REF!</definedName>
    <definedName name="Interest_expense_2" localSheetId="0">#REF!</definedName>
    <definedName name="Interest_expense_2">#REF!</definedName>
    <definedName name="Interest_expense_F" localSheetId="0">#REF!</definedName>
    <definedName name="Interest_expense_F">#REF!</definedName>
    <definedName name="Interest_Income" localSheetId="0">#REF!</definedName>
    <definedName name="Interest_Income">#REF!</definedName>
    <definedName name="Interest_Income_2" localSheetId="0">#REF!</definedName>
    <definedName name="Interest_Income_2">#REF!</definedName>
    <definedName name="Interest_Income_F" localSheetId="0">#REF!</definedName>
    <definedName name="Interest_Income_F">#REF!</definedName>
    <definedName name="Inv" localSheetId="0">#REF!</definedName>
    <definedName name="Inv">#REF!</definedName>
    <definedName name="Inventory" localSheetId="0">#REF!</definedName>
    <definedName name="Inventory">#REF!</definedName>
    <definedName name="Inventory_2" localSheetId="0">#REF!</definedName>
    <definedName name="Inventory_2">#REF!</definedName>
    <definedName name="Inventory_F" localSheetId="0">#REF!</definedName>
    <definedName name="Inventory_F">#REF!</definedName>
    <definedName name="Inveq" localSheetId="0">#REF!</definedName>
    <definedName name="Inveq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FAX" hidden="1">"c2100"</definedName>
    <definedName name="IQ_BOARD_MEMBER_OFFICE" hidden="1">"c2098"</definedName>
    <definedName name="IQ_BOARD_MEMBER_PHONE" hidden="1">"c2099"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>888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TOTAL" hidden="1">"c2107"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localSheetId="0" hidden="1">39146.6970023148</definedName>
    <definedName name="IQ_REVISION_DATE_" hidden="1">39146.6970023148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LASTCLOSE" hidden="1">"c1855"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ass" localSheetId="0">#REF!</definedName>
    <definedName name="irass">#REF!</definedName>
    <definedName name="is" localSheetId="0">#REF!</definedName>
    <definedName name="is">#REF!</definedName>
    <definedName name="IS_COMP1" localSheetId="0">#REF!</definedName>
    <definedName name="IS_COMP1">#REF!</definedName>
    <definedName name="IS_COMP1C" localSheetId="0">#REF!</definedName>
    <definedName name="IS_COMP1C">#REF!</definedName>
    <definedName name="IS_COMP2" localSheetId="0">#REF!</definedName>
    <definedName name="IS_COMP2">#REF!</definedName>
    <definedName name="IS_COMP2C" localSheetId="0">#REF!</definedName>
    <definedName name="IS_COMP2C">#REF!</definedName>
    <definedName name="IS_COMP3" localSheetId="0">#REF!</definedName>
    <definedName name="IS_COMP3">#REF!</definedName>
    <definedName name="IS_COMP3C" localSheetId="0">#REF!</definedName>
    <definedName name="IS_COMP3C">#REF!</definedName>
    <definedName name="IS_COMP4" localSheetId="0">#REF!</definedName>
    <definedName name="IS_COMP4">#REF!</definedName>
    <definedName name="IS_COMP4C" localSheetId="0">#REF!</definedName>
    <definedName name="IS_COMP4C">#REF!</definedName>
    <definedName name="IS_COMP5" localSheetId="0">#REF!</definedName>
    <definedName name="IS_COMP5">#REF!</definedName>
    <definedName name="IS_COMP5C" localSheetId="0">#REF!</definedName>
    <definedName name="IS_COMP5C">#REF!</definedName>
    <definedName name="IS_COMP6" localSheetId="0">#REF!</definedName>
    <definedName name="IS_COMP6">#REF!</definedName>
    <definedName name="IS_COMP6C" localSheetId="0">#REF!</definedName>
    <definedName name="IS_COMP6C">#REF!</definedName>
    <definedName name="is_sub" localSheetId="0">#REF!</definedName>
    <definedName name="is_sub">#REF!</definedName>
    <definedName name="is_sub2" localSheetId="0">#REF!</definedName>
    <definedName name="is_sub2">#REF!</definedName>
    <definedName name="ivig_gross">'[4]Revenue'!$B$166,'[4]Revenue'!$C$166,'[4]Revenue'!$D$166,'[4]Revenue'!$F$166,'[4]Revenue'!$F$168,'[4]Revenue'!$D$168,'[4]Revenue'!$C$168,'[4]Revenue'!$B$168,'[4]Revenue'!$B$170,'[4]Revenue'!$C$170,'[4]Revenue'!$D$170,'[4]Revenue'!$F$170,'[4]Revenue'!$F$172,'[4]Revenue'!$D$172,'[4]Revenue'!$C$172,'[4]Revenue'!$B$172,'[4]Revenue'!$B$174,'[4]Revenue'!$C$174,'[4]Revenue'!$D$174,'[4]Revenue'!$F$174,'[4]Revenue'!$K$174,'[4]Revenue'!$K$172,'[4]Revenue'!$K$170,'[4]Revenue'!$K$168,'[4]Revenue'!$K$166,'[4]Revenue'!$N$166,'[4]Revenue'!$N$168,'[4]Revenue'!$N$170,'[4]Revenue'!$N$172,'[4]Revenue'!$N$174,'[4]Revenue'!$Q$174,'[4]Revenue'!$Q$172,'[4]Revenue'!$Q$170,'[4]Revenue'!$Q$168</definedName>
    <definedName name="JAN" localSheetId="0">#REF!</definedName>
    <definedName name="JAN">#REF!</definedName>
    <definedName name="JUL" localSheetId="0">#REF!</definedName>
    <definedName name="JUL">#REF!</definedName>
    <definedName name="JUN" localSheetId="0">#REF!</definedName>
    <definedName name="JUN">#REF!</definedName>
    <definedName name="L" localSheetId="0">#REF!</definedName>
    <definedName name="L">#REF!</definedName>
    <definedName name="Labor_and_Material_Cost_of_Goods_Sold_Breakdown" localSheetId="0">'[16]IS'!#REF!</definedName>
    <definedName name="Labor_and_Material_Cost_of_Goods_Sold_Breakdown">'[16]IS'!#REF!</definedName>
    <definedName name="Labor_Cost_of_Goods_Sold_Breakdown" localSheetId="0">'[16]IS'!#REF!</definedName>
    <definedName name="Labor_Cost_of_Goods_Sold_Breakdown">'[16]IS'!#REF!</definedName>
    <definedName name="lastdebt" localSheetId="0">#REF!</definedName>
    <definedName name="lastdebt">#REF!</definedName>
    <definedName name="lastpref" localSheetId="0">#REF!</definedName>
    <definedName name="lastpref">#REF!</definedName>
    <definedName name="LATEST_FYE">'[12]Assumptions and Inputs (2)'!$D$9</definedName>
    <definedName name="Lease" localSheetId="0">#REF!</definedName>
    <definedName name="Lease">#REF!</definedName>
    <definedName name="LEVERAGE" localSheetId="0">#REF!</definedName>
    <definedName name="LEVERAGE">#REF!</definedName>
    <definedName name="LEVEREDSCREWUP" localSheetId="0">#REF!</definedName>
    <definedName name="LEVEREDSCREWUP">#REF!</definedName>
    <definedName name="lib" localSheetId="0">#REF!</definedName>
    <definedName name="lib">#REF!</definedName>
    <definedName name="LIBOR" localSheetId="0">'[18]Transaction'!#REF!</definedName>
    <definedName name="LIBOR">'[18]Transaction'!#REF!</definedName>
    <definedName name="licenses" localSheetId="0">#REF!</definedName>
    <definedName name="licenses">#REF!</definedName>
    <definedName name="liquidity_ratio" localSheetId="0">#REF!</definedName>
    <definedName name="liquidity_ratio">#REF!</definedName>
    <definedName name="locationChoice">'Dashboard'!#REF!</definedName>
    <definedName name="look" localSheetId="0">#REF!</definedName>
    <definedName name="look">#REF!</definedName>
    <definedName name="lookup" localSheetId="0">#REF!</definedName>
    <definedName name="lookup">#REF!</definedName>
    <definedName name="ltm_bs" localSheetId="0">#REF!</definedName>
    <definedName name="ltm_bs">#REF!</definedName>
    <definedName name="LTM_BS2" localSheetId="0">#REF!</definedName>
    <definedName name="LTM_BS2">#REF!</definedName>
    <definedName name="LTM_CALC">'[12]Assumptions and Inputs (2)'!$AA$55:$AD$81</definedName>
    <definedName name="ltm_calc_comp1" localSheetId="0">#REF!</definedName>
    <definedName name="ltm_calc_comp1">#REF!</definedName>
    <definedName name="ltm_calc_comp2" localSheetId="0">#REF!</definedName>
    <definedName name="ltm_calc_comp2">#REF!</definedName>
    <definedName name="ltm_calc_comp3" localSheetId="0">#REF!</definedName>
    <definedName name="ltm_calc_comp3">#REF!</definedName>
    <definedName name="ltm_calc_comp4" localSheetId="0">#REF!</definedName>
    <definedName name="ltm_calc_comp4">#REF!</definedName>
    <definedName name="ltm_calc_comp5" localSheetId="0">#REF!</definedName>
    <definedName name="ltm_calc_comp5">#REF!</definedName>
    <definedName name="ltm_calc_comp6" localSheetId="0">#REF!</definedName>
    <definedName name="ltm_calc_comp6">#REF!</definedName>
    <definedName name="ltm_calc_sub" localSheetId="0">#REF!</definedName>
    <definedName name="ltm_calc_sub">#REF!</definedName>
    <definedName name="LTM_Common" localSheetId="0">#REF!</definedName>
    <definedName name="LTM_Common">#REF!</definedName>
    <definedName name="LTM_DATE">'[12]Assumptions and Inputs (2)'!$D$10</definedName>
    <definedName name="LTM_IS" localSheetId="0">#REF!</definedName>
    <definedName name="LTM_IS">#REF!</definedName>
    <definedName name="LTM_IS2" localSheetId="0">#REF!</definedName>
    <definedName name="LTM_IS2">#REF!</definedName>
    <definedName name="LTM_RATIO" localSheetId="0">#REF!</definedName>
    <definedName name="LTM_RATIO">#REF!</definedName>
    <definedName name="LTM_RATIO2" localSheetId="0">#REF!</definedName>
    <definedName name="LTM_RATIO2">#REF!</definedName>
    <definedName name="MAIN" localSheetId="0">#REF!</definedName>
    <definedName name="MAIN">#REF!</definedName>
    <definedName name="MAR" localSheetId="0">#REF!</definedName>
    <definedName name="MAR">#REF!</definedName>
    <definedName name="Marg_tax" localSheetId="0">#REF!</definedName>
    <definedName name="Marg_tax">#REF!</definedName>
    <definedName name="Marg_taxeq" localSheetId="0">#REF!</definedName>
    <definedName name="Marg_taxeq">#REF!</definedName>
    <definedName name="Marginal_Tax_Rate" localSheetId="0">#REF!</definedName>
    <definedName name="Marginal_Tax_Rate">#REF!</definedName>
    <definedName name="Marginal_Tax_Rate_2" localSheetId="0">#REF!</definedName>
    <definedName name="Marginal_Tax_Rate_2">#REF!</definedName>
    <definedName name="Marginal_Tax_Rate_F" localSheetId="0">#REF!</definedName>
    <definedName name="Marginal_Tax_Rate_F">#REF!</definedName>
    <definedName name="Materials_Cost_of_Goods_Sold_Breakdown" localSheetId="0">'[16]IS'!#REF!</definedName>
    <definedName name="Materials_Cost_of_Goods_Sold_Breakdown">'[16]IS'!#REF!</definedName>
    <definedName name="MAY" localSheetId="0">#REF!</definedName>
    <definedName name="MAY">#REF!</definedName>
    <definedName name="med_patient_census">'[4]Revenue'!$B$340:$D$340,'[4]Revenue'!$F$340:$H$340,'[4]Revenue'!$K$340:$V$340</definedName>
    <definedName name="MI" localSheetId="0">'[8]Input'!#REF!</definedName>
    <definedName name="MI">'[8]Input'!#REF!</definedName>
    <definedName name="mng_care_patient_census">'[4]Revenue'!$B$473:$D$473,'[4]Revenue'!$F$473:$H$473,'[4]Revenue'!$K$473:$V$473</definedName>
    <definedName name="MonthList" localSheetId="0">{"January","February","March","April","May","June","July","August","September","October","November","December"}</definedName>
    <definedName name="MonthList" localSheetId="5">{"January","February","March","April","May","June","July","August","September","October","November","December"}</definedName>
    <definedName name="MonthList">{"January","February","March","April","May","June","July","August","September","October","November","December"}</definedName>
    <definedName name="mult" localSheetId="0">#REF!</definedName>
    <definedName name="mult">#REF!</definedName>
    <definedName name="mult_analys" localSheetId="0">#REF!</definedName>
    <definedName name="mult_analys">#REF!</definedName>
    <definedName name="mult_analys2" localSheetId="0">#REF!</definedName>
    <definedName name="mult_analys2">#REF!</definedName>
    <definedName name="mult2" localSheetId="0">#REF!</definedName>
    <definedName name="mult2">#REF!</definedName>
    <definedName name="multiple">'[5]DCF Assumptions'!$D$154</definedName>
    <definedName name="name">'[19]level 2'!$E$6</definedName>
    <definedName name="NB" localSheetId="0">'[20]Level 2 - Cap Table'!#REF!</definedName>
    <definedName name="NB">'[20]Level 2 - Cap Table'!#REF!</definedName>
    <definedName name="Net_Income" localSheetId="0">#REF!</definedName>
    <definedName name="Net_Income">#REF!</definedName>
    <definedName name="Net_Income_2" localSheetId="0">#REF!</definedName>
    <definedName name="Net_Income_2">#REF!</definedName>
    <definedName name="Net_Income_F" localSheetId="0">#REF!</definedName>
    <definedName name="Net_Income_F">#REF!</definedName>
    <definedName name="NI" localSheetId="0">#REF!</definedName>
    <definedName name="NI">#REF!</definedName>
    <definedName name="NIeq" localSheetId="0">#REF!</definedName>
    <definedName name="NIeq">#REF!</definedName>
    <definedName name="normalized_tax">'[12]Assumptions and Inputs (2)'!$D$44</definedName>
    <definedName name="notes" localSheetId="0">#REF!</definedName>
    <definedName name="notes">#REF!</definedName>
    <definedName name="NOV" localSheetId="0">#REF!</definedName>
    <definedName name="NOV">#REF!</definedName>
    <definedName name="ocase" localSheetId="0">#REF!</definedName>
    <definedName name="ocase">#REF!</definedName>
    <definedName name="OCT" localSheetId="0">#REF!</definedName>
    <definedName name="OCT">#REF!</definedName>
    <definedName name="ON" localSheetId="0">#REF!</definedName>
    <definedName name="ON">#REF!</definedName>
    <definedName name="ONE" localSheetId="0">#REF!</definedName>
    <definedName name="ONE">#REF!</definedName>
    <definedName name="opcase" localSheetId="0">'[17]cap'!#REF!</definedName>
    <definedName name="opcase">'[17]cap'!#REF!</definedName>
    <definedName name="Operational_Assumptions" localSheetId="0">#REF!</definedName>
    <definedName name="Operational_Assumptions">#REF!</definedName>
    <definedName name="other_gross">'[4]Revenue'!$B$243,'[4]Revenue'!$B$243:$D$243,'[4]Revenue'!$F$243,'[4]Revenue'!$F$245,'[4]Revenue'!$B$245:$D$245,'[4]Revenue'!$B$247,'[4]Revenue'!$B$247:$D$247,'[4]Revenue'!$F$247,'[4]Revenue'!$F$249,'[4]Revenue'!$B$249:$D$249,'[4]Revenue'!$B$251:$D$251,'[4]Revenue'!$F$251,'[4]Revenue'!$K$243,'[4]Revenue'!$K$245,'[4]Revenue'!$K$247,'[4]Revenue'!$K$249,'[4]Revenue'!$K$251,'[4]Revenue'!$N$251,'[4]Revenue'!$N$249,'[4]Revenue'!$N$247,'[4]Revenue'!$N$245,'[4]Revenue'!$N$243,'[4]Revenue'!$Q$243,'[4]Revenue'!$Q$245,'[4]Revenue'!$Q$247,'[4]Revenue'!$Q$249,'[4]Revenue'!$Q$251,'[4]Revenue'!$T$251,'[4]Revenue'!$T$249</definedName>
    <definedName name="outputCell">'Dashboard'!#REF!</definedName>
    <definedName name="outputTableCell">'Dashboard'!#REF!</definedName>
    <definedName name="owner" localSheetId="0">#REF!</definedName>
    <definedName name="owner">#REF!</definedName>
    <definedName name="Ownership_Profile" localSheetId="0">#REF!</definedName>
    <definedName name="Ownership_Profile">#REF!</definedName>
    <definedName name="P.Assumptions" localSheetId="0">#REF!</definedName>
    <definedName name="P.Assumptions">#REF!</definedName>
    <definedName name="P.Backup" localSheetId="0">#REF!</definedName>
    <definedName name="P.Backup">#REF!</definedName>
    <definedName name="P.CloseBalSheet" localSheetId="0">#REF!</definedName>
    <definedName name="P.CloseBalSheet">#REF!</definedName>
    <definedName name="P.ControlPanel" localSheetId="0">#REF!</definedName>
    <definedName name="P.ControlPanel">#REF!</definedName>
    <definedName name="P.Debt" localSheetId="0">#REF!</definedName>
    <definedName name="P.Debt">#REF!</definedName>
    <definedName name="P.IncomeStmt" localSheetId="0">#REF!</definedName>
    <definedName name="P.IncomeStmt">#REF!</definedName>
    <definedName name="P.Inputs" localSheetId="0">#REF!</definedName>
    <definedName name="P.Inputs">#REF!</definedName>
    <definedName name="P.IntRates" localSheetId="0">#REF!</definedName>
    <definedName name="P.IntRates">#REF!</definedName>
    <definedName name="p.ratio" localSheetId="0">#REF!</definedName>
    <definedName name="p.ratio">#REF!</definedName>
    <definedName name="P.Returns" localSheetId="0">#REF!</definedName>
    <definedName name="P.Returns">#REF!</definedName>
    <definedName name="page_number" localSheetId="0">'[15]Assumptions'!#REF!</definedName>
    <definedName name="page_number">'[15]Assumptions'!#REF!</definedName>
    <definedName name="paige" localSheetId="0">#REF!</definedName>
    <definedName name="paige">#REF!</definedName>
    <definedName name="pain_mgmt_gross">'[4]Revenue'!$B$155,'[4]Revenue'!$C$155,'[4]Revenue'!$D$155,'[4]Revenue'!$F$155,'[4]Revenue'!$F$157,'[4]Revenue'!$D$157,'[4]Revenue'!$C$157,'[4]Revenue'!$B$157,'[4]Revenue'!$B$159,'[4]Revenue'!$C$159,'[4]Revenue'!$D$159,'[4]Revenue'!$F$159,'[4]Revenue'!$F$161,'[4]Revenue'!$D$161,'[4]Revenue'!$C$161,'[4]Revenue'!$B$161,'[4]Revenue'!$B$163,'[4]Revenue'!$C$163,'[4]Revenue'!$D$163,'[4]Revenue'!$F$163,'[4]Revenue'!$K$163,'[4]Revenue'!$K$161,'[4]Revenue'!$K$159,'[4]Revenue'!$K$157,'[4]Revenue'!$K$155,'[4]Revenue'!$N$155,'[4]Revenue'!$N$157,'[4]Revenue'!$N$159,'[4]Revenue'!$N$161,'[4]Revenue'!$N$163,'[4]Revenue'!$Q$163,'[4]Revenue'!$Q$161,'[4]Revenue'!$Q$159,'[4]Revenue'!$Q$157</definedName>
    <definedName name="PASTALETH" localSheetId="0">#REF!</definedName>
    <definedName name="PASTALETH">#REF!</definedName>
    <definedName name="PKG" localSheetId="0">#REF!</definedName>
    <definedName name="PKG">#REF!</definedName>
    <definedName name="PKGLBS" localSheetId="0">#REF!</definedName>
    <definedName name="PKGLBS">#REF!</definedName>
    <definedName name="PRACTICE" localSheetId="0">#REF!</definedName>
    <definedName name="PRACTICE">#REF!</definedName>
    <definedName name="Pref_div" localSheetId="0">#REF!</definedName>
    <definedName name="Pref_div">#REF!</definedName>
    <definedName name="Pref_diveq" localSheetId="0">#REF!</definedName>
    <definedName name="Pref_diveq">#REF!</definedName>
    <definedName name="Pref_price" localSheetId="0">#REF!</definedName>
    <definedName name="Pref_price">#REF!</definedName>
    <definedName name="Pref_priceeq" localSheetId="0">#REF!</definedName>
    <definedName name="Pref_priceeq">#REF!</definedName>
    <definedName name="Pref_shares" localSheetId="0">#REF!</definedName>
    <definedName name="Pref_shares">#REF!</definedName>
    <definedName name="Pref_shareseq" localSheetId="0">#REF!</definedName>
    <definedName name="Pref_shareseq">#REF!</definedName>
    <definedName name="Pref_Space" localSheetId="0">#REF!</definedName>
    <definedName name="Pref_Space">#REF!</definedName>
    <definedName name="Prefered_Shares" localSheetId="0">#REF!</definedName>
    <definedName name="Prefered_Shares">#REF!</definedName>
    <definedName name="preferred_dividend" localSheetId="0">#REF!</definedName>
    <definedName name="preferred_dividend">#REF!</definedName>
    <definedName name="preferred_dividend_2" localSheetId="0">#REF!</definedName>
    <definedName name="preferred_dividend_2">#REF!</definedName>
    <definedName name="preferred_dividend_F" localSheetId="0">#REF!</definedName>
    <definedName name="preferred_dividend_F">#REF!</definedName>
    <definedName name="Preferred_Shares_2" localSheetId="0">#REF!</definedName>
    <definedName name="Preferred_Shares_2">#REF!</definedName>
    <definedName name="Preferred_Shares_F" localSheetId="0">#REF!</definedName>
    <definedName name="Preferred_Shares_F">#REF!</definedName>
    <definedName name="premium" localSheetId="0">#REF!</definedName>
    <definedName name="premium">#REF!</definedName>
    <definedName name="present_value_stub">'[5]DCF Assumptions'!$D$15</definedName>
    <definedName name="present_value_year1">'[5]DCF Assumptions'!$E$15</definedName>
    <definedName name="present_value_year2">'[5]DCF Assumptions'!$F$15</definedName>
    <definedName name="present_value_year3">'[5]DCF Assumptions'!$G$15</definedName>
    <definedName name="present_value_year4">'[5]DCF Assumptions'!$H$15</definedName>
    <definedName name="present_value_year5">'[5]DCF Assumptions'!$I$15</definedName>
    <definedName name="present_value_year6">'[5]DCF Assumptions'!$J$15</definedName>
    <definedName name="Prime" localSheetId="0">#REF!</definedName>
    <definedName name="Prime">#REF!</definedName>
    <definedName name="Print" localSheetId="0">#REF!</definedName>
    <definedName name="Print">#REF!</definedName>
    <definedName name="_xlnm.Print_Area" localSheetId="5">'Purchase'!$B$1:$AR$137</definedName>
    <definedName name="PRINT_AREA_MI" localSheetId="0">#REF!</definedName>
    <definedName name="PRINT_AREA_MI">#REF!</definedName>
    <definedName name="Print_Macro_Buttons" localSheetId="0">'[1]Sheet1'!#REF!</definedName>
    <definedName name="Print_Macro_Buttons">'[1]Sheet1'!#REF!</definedName>
    <definedName name="print_range_warning">'[12]Assumptions and Inputs (2)'!$D$45</definedName>
    <definedName name="print_summary" localSheetId="0">#REF!</definedName>
    <definedName name="print_summary">#REF!</definedName>
    <definedName name="_xlnm.Print_Titles" localSheetId="5">'Purchase'!$B:$B,'Purchase'!$1:$31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2" localSheetId="0">#REF!</definedName>
    <definedName name="Print2">#REF!</definedName>
    <definedName name="print3" localSheetId="0">#REF!</definedName>
    <definedName name="print3">#REF!</definedName>
    <definedName name="proceeds" localSheetId="0">'[21]Non-core'!#REF!</definedName>
    <definedName name="proceeds">'[21]Non-core'!#REF!</definedName>
    <definedName name="PROCUR">#REF!</definedName>
    <definedName name="PRODPASTAMTL">#REF!</definedName>
    <definedName name="PRODSAUCE">#REF!</definedName>
    <definedName name="profit">'Purchase'!$C$134</definedName>
    <definedName name="PROFITABILITY">#REF!</definedName>
    <definedName name="Proj_BS">'[1]Sheet1'!$A$1:$O$47</definedName>
    <definedName name="proj_desc">#REF!</definedName>
    <definedName name="project">#REF!</definedName>
    <definedName name="Projected_BS">#REF!</definedName>
    <definedName name="Projected_Pertinent_BS_Stats">'[16]IS'!#REF!</definedName>
    <definedName name="projections">#REF!</definedName>
    <definedName name="PROMOTE">#REF!</definedName>
    <definedName name="Proposed_Senior_Debt_Financial_Convenants">'[16]AM'!#REF!</definedName>
    <definedName name="Proposed_Subordinated_Note_Financial_Covenants">'[16]AM'!#REF!</definedName>
    <definedName name="PVAR">#REF!</definedName>
    <definedName name="QCPATES">#REF!</definedName>
    <definedName name="QCSAUCE">#REF!</definedName>
    <definedName name="R_Selected">#REF!</definedName>
    <definedName name="R_TableArea">#REF!</definedName>
    <definedName name="R_TableHeading">#REF!</definedName>
    <definedName name="R_TableRowsArea">#REF!</definedName>
    <definedName name="R_TableTotals">#REF!</definedName>
    <definedName name="rate">#REF!</definedName>
    <definedName name="rateinput" localSheetId="0">#REF!</definedName>
    <definedName name="rateinput">#REF!</definedName>
    <definedName name="Ratio">#REF!</definedName>
    <definedName name="Ratio_2">'[22]Ratios_Sheet'!#REF!</definedName>
    <definedName name="Ratio_Analysis">'[16]IS'!#REF!</definedName>
    <definedName name="RATIO_COMP1">#REF!</definedName>
    <definedName name="RATIO_COMP1C">#REF!</definedName>
    <definedName name="RATIO_COMP2">#REF!</definedName>
    <definedName name="RATIO_COMP2C">#REF!</definedName>
    <definedName name="RATIO_COMP3">#REF!</definedName>
    <definedName name="RATIO_COMP3C">#REF!</definedName>
    <definedName name="RATIO_COMP4">#REF!</definedName>
    <definedName name="RATIO_COMP4C">#REF!</definedName>
    <definedName name="RATIO_COMP5">#REF!</definedName>
    <definedName name="RATIO_COMP5C">#REF!</definedName>
    <definedName name="RATIO_COMP6">#REF!</definedName>
    <definedName name="RATIO_COMP6C">#REF!</definedName>
    <definedName name="RATIO_LTM">#REF!</definedName>
    <definedName name="RATIO_LTM2">#REF!</definedName>
    <definedName name="RATIO_SUB">#REF!</definedName>
    <definedName name="RATIO_SUB2">#REF!</definedName>
    <definedName name="ratio2_sub">#REF!</definedName>
    <definedName name="Ratios">'[1]Sheet1'!$A$1:$W$45</definedName>
    <definedName name="RDPATES">#REF!</definedName>
    <definedName name="RDSAUCE">#REF!</definedName>
    <definedName name="RecapDate">'[23]Recap'!$O$148</definedName>
    <definedName name="REGRIND">#REF!</definedName>
    <definedName name="REPAY">#REF!</definedName>
    <definedName name="Residual">'[1]Sheet1'!$A$1:$Q$26</definedName>
    <definedName name="RETDT">#REF!</definedName>
    <definedName name="Return">#REF!</definedName>
    <definedName name="Return_1">#REF!</definedName>
    <definedName name="Return_2">#REF!</definedName>
    <definedName name="Return_3">#REF!</definedName>
    <definedName name="Return_4">#REF!</definedName>
    <definedName name="RETURNS">#REF!</definedName>
    <definedName name="Rev">#REF!</definedName>
    <definedName name="rev_status">#REF!</definedName>
    <definedName name="Revenues">#REF!</definedName>
    <definedName name="Revenues_2">#REF!</definedName>
    <definedName name="Revenues_F">#REF!</definedName>
    <definedName name="Reveq">#REF!</definedName>
    <definedName name="s">#REF!</definedName>
    <definedName name="SALES">#REF!</definedName>
    <definedName name="Sales_2">#REF!</definedName>
    <definedName name="Sales_Breakdown_by_Product_Line">'[16]IS'!#REF!</definedName>
    <definedName name="SALES_F">#REF!</definedName>
    <definedName name="Sales_new">#REF!</definedName>
    <definedName name="Sales_neweq">#REF!</definedName>
    <definedName name="scaleFactorPGEcom">'[24]Inputs'!$G$40</definedName>
    <definedName name="scaleFactorPGEres">'[24]Inputs'!$G$37</definedName>
    <definedName name="scaleFactorSCEcom">'[24]Inputs'!$G$41</definedName>
    <definedName name="scaleFactorSCEres">'[24]Inputs'!$G$38</definedName>
    <definedName name="scaleFactorSDGEcom">'[24]Inputs'!$G$42</definedName>
    <definedName name="scaleFactorSDGEres">'[24]Inputs'!$G$39</definedName>
    <definedName name="scenario.1">#REF!</definedName>
    <definedName name="scenario.2">#REF!</definedName>
    <definedName name="scenario.3">#REF!</definedName>
    <definedName name="scenario.4">#REF!</definedName>
    <definedName name="Selling_general_admin">#REF!</definedName>
    <definedName name="Selling_general_admineq">#REF!</definedName>
    <definedName name="sencount" hidden="1">1</definedName>
    <definedName name="Sens">'[1]Sheet1'!#REF!</definedName>
    <definedName name="SEP">#REF!</definedName>
    <definedName name="SGA">#REF!</definedName>
    <definedName name="SGA_2">#REF!</definedName>
    <definedName name="SGA_F">#REF!</definedName>
    <definedName name="sizeChoice">'Dashboard'!#REF!</definedName>
    <definedName name="SKUs">#REF!</definedName>
    <definedName name="solver_adj" localSheetId="0" hidden="1">#REF!</definedName>
    <definedName name="solver_adj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ponsor">#REF!</definedName>
    <definedName name="SPWS_WBID">"E19BBE5F-9CCB-454D-902B-0B8C539DACBE"</definedName>
    <definedName name="step">#REF!</definedName>
    <definedName name="step2">#REF!</definedName>
    <definedName name="stub">#REF!</definedName>
    <definedName name="stub_period">'[5]DCF Assumptions'!$D$10</definedName>
    <definedName name="su">#REF!</definedName>
    <definedName name="Subordinated_Debt_Return_Analysis">#REF!</definedName>
    <definedName name="summary1">#REF!</definedName>
    <definedName name="summary2">#REF!</definedName>
    <definedName name="TABL_COM">#REF!</definedName>
    <definedName name="TABL_EX">#REF!</definedName>
    <definedName name="TABL_JSD">#REF!</definedName>
    <definedName name="TABL_PRFD">#REF!</definedName>
    <definedName name="TABL_SSN">#REF!</definedName>
    <definedName name="Tax">#REF!</definedName>
    <definedName name="Tax_exp">#REF!</definedName>
    <definedName name="Tax_Expense">#REF!</definedName>
    <definedName name="Tax_Expense_2">#REF!</definedName>
    <definedName name="Tax_Expense_F">#REF!</definedName>
    <definedName name="Tax_expeq">#REF!</definedName>
    <definedName name="tax_rate_year1">'[5]DCF Assumptions'!$D$88</definedName>
    <definedName name="tax_rate_year2">'[5]DCF Assumptions'!$E$88</definedName>
    <definedName name="tax_rate_year3">'[5]DCF Assumptions'!$F$88</definedName>
    <definedName name="tax_rate_year4">'[5]DCF Assumptions'!$G$88</definedName>
    <definedName name="tax_rate_year5">'[5]DCF Assumptions'!$H$88</definedName>
    <definedName name="tax_rate_year6">'[5]DCF Assumptions'!$I$88</definedName>
    <definedName name="taxdep">#REF!</definedName>
    <definedName name="tcase">#REF!</definedName>
    <definedName name="tdep">#REF!</definedName>
    <definedName name="Template">'[25]UK P&amp;L Nov-00'!#REF!</definedName>
    <definedName name="term_cf">#REF!</definedName>
    <definedName name="term_eq">#REF!</definedName>
    <definedName name="THREE">#REF!</definedName>
    <definedName name="TIC">#REF!</definedName>
    <definedName name="ticker">#REF!</definedName>
    <definedName name="TickerCell">'[9]#REF'!$X$3</definedName>
    <definedName name="time">#REF!</definedName>
    <definedName name="time_toggle">'[12]Assumptions and Inputs (2)'!$D$32</definedName>
    <definedName name="TITLE">'[26]COVER'!$Q$16</definedName>
    <definedName name="title1">'[27]COVER'!$Q$16</definedName>
    <definedName name="TOH">#REF!</definedName>
    <definedName name="Tot_ass">#REF!</definedName>
    <definedName name="Tot_asseq">#REF!</definedName>
    <definedName name="Tot_book">#REF!</definedName>
    <definedName name="Tot_bookeq">#REF!</definedName>
    <definedName name="TOTAL">#REF!</definedName>
    <definedName name="Total_Assets">#REF!</definedName>
    <definedName name="Total_Assets_2">#REF!</definedName>
    <definedName name="Total_Assets_F">#REF!</definedName>
    <definedName name="Total_Book_Equity">#REF!</definedName>
    <definedName name="Total_Book_Equity_2">#REF!</definedName>
    <definedName name="Total_Book_Equity_F">#REF!</definedName>
    <definedName name="Total_CA">#REF!</definedName>
    <definedName name="Total_CAeq">#REF!</definedName>
    <definedName name="Total_CL">#REF!</definedName>
    <definedName name="Total_CLeq">#REF!</definedName>
    <definedName name="Total_common_shares">#REF!</definedName>
    <definedName name="Total_common_shareseq">#REF!</definedName>
    <definedName name="Total_Current_Assets">#REF!</definedName>
    <definedName name="Total_Current_Assets_2">#REF!</definedName>
    <definedName name="Total_Current_Assets_F">#REF!</definedName>
    <definedName name="Total_Current_Liabilities">#REF!</definedName>
    <definedName name="Total_Current_Liabilities_2">#REF!</definedName>
    <definedName name="Total_Current_Liabilities_F">#REF!</definedName>
    <definedName name="Total_number_of_Common_Shares">#REF!</definedName>
    <definedName name="Total_number_of_Common_Shares_2">#REF!</definedName>
    <definedName name="Total_number_of_Common_Shares_F">#REF!</definedName>
    <definedName name="Total_pref">#REF!</definedName>
    <definedName name="Total_pref._Equity">#REF!</definedName>
    <definedName name="Total_pref._Equity_2">#REF!</definedName>
    <definedName name="Total_pref._Equity_F">#REF!</definedName>
    <definedName name="Total_prefeq">#REF!</definedName>
    <definedName name="TOTALADM">#REF!</definedName>
    <definedName name="TOTALCANADA">#REF!</definedName>
    <definedName name="TOTALMTL">#REF!</definedName>
    <definedName name="TOTALPASTACANA">#REF!</definedName>
    <definedName name="TOTALPASTAMTL">#REF!</definedName>
    <definedName name="TOTALSAUCE">#REF!</definedName>
    <definedName name="tp">#REF!</definedName>
    <definedName name="tpn_gross">'[4]Revenue'!$B$188,'[4]Revenue'!$B$188:$D$188,'[4]Revenue'!$F$188,'[4]Revenue'!$F$190,'[4]Revenue'!$B$190:$D$190,'[4]Revenue'!$B$192:$D$192,'[4]Revenue'!$F$192,'[4]Revenue'!$F$194,'[4]Revenue'!$B$194:$D$194,'[4]Revenue'!$B$196:$D$196,'[4]Revenue'!$F$196,'[4]Revenue'!$K$188,'[4]Revenue'!$K$190,'[4]Revenue'!$K$192,'[4]Revenue'!$K$194,'[4]Revenue'!$K$196,'[4]Revenue'!$N$196,'[4]Revenue'!$N$194,'[4]Revenue'!$N$192,'[4]Revenue'!$N$190,'[4]Revenue'!$N$188,'[4]Revenue'!$Q$196,'[4]Revenue'!$Q$194,'[4]Revenue'!$Q$192,'[4]Revenue'!$Q$190,'[4]Revenue'!$Q$188,'[4]Revenue'!$T$188,'[4]Revenue'!$T$190</definedName>
    <definedName name="transactions">#REF!</definedName>
    <definedName name="travel__lodging">'[28]Israel 99 ver1'!$B$148</definedName>
    <definedName name="Trend">'[1]Sheet1'!$B$60:$X$106</definedName>
    <definedName name="trig1">#REF!</definedName>
    <definedName name="trig2">#REF!</definedName>
    <definedName name="trig3">#REF!</definedName>
    <definedName name="trig4">#REF!</definedName>
    <definedName name="trig5">#REF!</definedName>
    <definedName name="ttcase">#REF!</definedName>
    <definedName name="TWO">#REF!</definedName>
    <definedName name="USA">#REF!</definedName>
    <definedName name="USAGE">#REF!</definedName>
    <definedName name="USAGE2">#REF!</definedName>
    <definedName name="USALICENSE">#REF!</definedName>
    <definedName name="Valuation_summary">#REF!</definedName>
    <definedName name="value">#REF!</definedName>
    <definedName name="value2">#REF!</definedName>
    <definedName name="VARIANCE">#REF!</definedName>
    <definedName name="vendor_top">#REF!</definedName>
    <definedName name="vendors">#REF!</definedName>
    <definedName name="VolumeCell">'[9]#REF'!$D$3</definedName>
    <definedName name="wacc">'[5]DCF Assumptions'!$D$152</definedName>
    <definedName name="WCAP">#REF!</definedName>
    <definedName name="wcint">#REF!</definedName>
    <definedName name="Wedge">'[1]Sheet1'!$A$1:$R$65</definedName>
    <definedName name="weqweqe">#REF!</definedName>
    <definedName name="WIP">#REF!</definedName>
    <definedName name="womens_gross">'[4]Revenue'!$B$232,'[4]Revenue'!$B$232:$D$232,'[4]Revenue'!$F$232,'[4]Revenue'!$F$234,'[4]Revenue'!$B$234:$D$234,'[4]Revenue'!$B$236:$D$236,'[4]Revenue'!$F$236,'[4]Revenue'!$F$238,'[4]Revenue'!$B$238:$D$238,'[4]Revenue'!$B$240:$D$240,'[4]Revenue'!$F$240,'[4]Revenue'!$K$232,'[4]Revenue'!$K$234,'[4]Revenue'!$K$236,'[4]Revenue'!$K$238,'[4]Revenue'!$K$240,'[4]Revenue'!$N$240,'[4]Revenue'!$N$238,'[4]Revenue'!$N$236,'[4]Revenue'!$N$234,'[4]Revenue'!$N$232,'[4]Revenue'!$Q$240,'[4]Revenue'!$Q$238,'[4]Revenue'!$Q$236,'[4]Revenue'!$Q$234,'[4]Revenue'!$Q$232,'[4]Revenue'!$T$232,'[4]Revenue'!$T$234</definedName>
    <definedName name="wrn.ALL." localSheetId="0" hidden="1">{#N/A,#N/A,FALSE,"ASSUMPTIONS";#N/A,#N/A,FALSE,"Valuation Summary";"page1",#N/A,FALSE,"PRESENTATION";"page2",#N/A,FALSE,"PRESENTATION";#N/A,#N/A,FALSE,"ORIGINAL_ROLLBACK"}</definedName>
    <definedName name="wrn.ALL." hidden="1">{#N/A,#N/A,FALSE,"ASSUMPTIONS";#N/A,#N/A,FALSE,"Valuation Summary";"page1",#N/A,FALSE,"PRESENTATION";"page2",#N/A,FALSE,"PRESENTATION";#N/A,#N/A,FALSE,"ORIGINAL_ROLLBACK"}</definedName>
    <definedName name="wrn.Earnings._.Model.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llReport." localSheetId="0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.FullReport.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.FY97SBP." localSheetId="0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PRES_OUT." localSheetId="0" hidden="1">{"page1",#N/A,FALSE,"PRESENTATION";"page2",#N/A,FALSE,"PRESENTATION";#N/A,#N/A,FALSE,"Valuation Summary"}</definedName>
    <definedName name="wrn.PRES_OUT." hidden="1">{"page1",#N/A,FALSE,"PRESENTATION";"page2",#N/A,FALSE,"PRESENTATION";#N/A,#N/A,FALSE,"Valuation Summary"}</definedName>
    <definedName name="wrn.Presentation._.Version._.but._.No._.WC._.Slide." localSheetId="0" hidden="1">{"Presentation View",#N/A,TRUE,"Cover";"Presentation View",#N/A,TRUE,"Hilight_YTD";"Presentation View",#N/A,TRUE,"BridgeP";"Presentation View",#N/A,TRUE,"Bridge00";"Presentation View",#N/A,TRUE,"cnsoled_IS";"Presentation View",#N/A,TRUE,"cnsol_incYTD v plan";"Presentation View",#N/A,TRUE,"cnsol_incYTD v PY";"Presentation View",#N/A,TRUE,"Fcst1 qtrly";"Presentation View",#N/A,TRUE,"Fcst1 Qtrly Earnings";"Presentation View",#N/A,TRUE,"AR";"Presentation View",#N/A,TRUE,"INV";"Presentation View",#N/A,TRUE,"Inc Trend";"Presentation View",#N/A,TRUE,"cnsol_inc v p";"Presentation View",#N/A,TRUE,"cnsol_inc v PY";"Presentation View",#N/A,TRUE,"F1 BS";"Presentation View2",#N/A,TRUE,"cash flow";"Presentation View",#N/A,TRUE,"TITLE PF";"Presentation View",#N/A,TRUE,"cnsol_incYTDpf v PYpf";"Presentation View",#N/A,TRUE,"cnsol_inc v PYpf";"Presentation View",#N/A,TRUE,"CapExPF";"Presentation View",#N/A,TRUE,"Major Projects";"Presentation View",#N/A,TRUE,"MAR"}</definedName>
    <definedName name="wrn.Presentation._.Version._.but._.No._.WC._.Slide." hidden="1">{"Presentation View",#N/A,TRUE,"Cover";"Presentation View",#N/A,TRUE,"Hilight_YTD";"Presentation View",#N/A,TRUE,"BridgeP";"Presentation View",#N/A,TRUE,"Bridge00";"Presentation View",#N/A,TRUE,"cnsoled_IS";"Presentation View",#N/A,TRUE,"cnsol_incYTD v plan";"Presentation View",#N/A,TRUE,"cnsol_incYTD v PY";"Presentation View",#N/A,TRUE,"Fcst1 qtrly";"Presentation View",#N/A,TRUE,"Fcst1 Qtrly Earnings";"Presentation View",#N/A,TRUE,"AR";"Presentation View",#N/A,TRUE,"INV";"Presentation View",#N/A,TRUE,"Inc Trend";"Presentation View",#N/A,TRUE,"cnsol_inc v p";"Presentation View",#N/A,TRUE,"cnsol_inc v PY";"Presentation View",#N/A,TRUE,"F1 BS";"Presentation View2",#N/A,TRUE,"cash flow";"Presentation View",#N/A,TRUE,"TITLE PF";"Presentation View",#N/A,TRUE,"cnsol_incYTDpf v PYpf";"Presentation View",#N/A,TRUE,"cnsol_inc v PYpf";"Presentation View",#N/A,TRUE,"CapExPF";"Presentation View",#N/A,TRUE,"Major Projects";"Presentation View",#N/A,TRUE,"MAR"}</definedName>
    <definedName name="wrn.PRINT_CURRENT._.PAGE." localSheetId="0" hidden="1">{"CURRENT",#N/A,FALSE,"REGISTER"}</definedName>
    <definedName name="wrn.PRINT_CURRENT._.PAGE." hidden="1">{"CURRENT",#N/A,FALSE,"REGISTER"}</definedName>
    <definedName name="wrn.PRINT_HISTORY." localSheetId="0" hidden="1">{"HISTORY",#N/A,FALSE,"REGISTER"}</definedName>
    <definedName name="wrn.PRINT_HISTORY." hidden="1">{"HISTORY",#N/A,FALSE,"REGISTER"}</definedName>
    <definedName name="wrn.printall." localSheetId="0" hidden="1">{"page1",#N/A,FALSE,"DCM";"page2",#N/A,FALSE,"DCM";"page3",#N/A,FALSE,"DCM";"page4",#N/A,FALSE,"DCM";"page5",#N/A,FALSE,"DCM";"page6",#N/A,FALSE,"DCM";"page7",#N/A,FALSE,"DCM";"page8",#N/A,FALSE,"DCM"}</definedName>
    <definedName name="wrn.printall." hidden="1">{"page1",#N/A,FALSE,"DCM";"page2",#N/A,FALSE,"DCM";"page3",#N/A,FALSE,"DCM";"page4",#N/A,FALSE,"DCM";"page5",#N/A,FALSE,"DCM";"page6",#N/A,FALSE,"DCM";"page7",#N/A,FALSE,"DCM";"page8",#N/A,FALSE,"DCM"}</definedName>
    <definedName name="wrn.Summary." localSheetId="0" hidden="1">{"page1",#N/A,FALSE,"DCM";"page3",#N/A,FALSE,"DCM"}</definedName>
    <definedName name="wrn.Summary." hidden="1">{"page1",#N/A,FALSE,"DCM";"page3",#N/A,FALSE,"DCM"}</definedName>
    <definedName name="wrn.Working._.Version." localSheetId="0" hidden="1">{"Working View with Notes2",#N/A,TRUE,"Hilight_YTD";"Working View with Notes2",#N/A,TRUE,"BridgeP";"Working View with Notes2",#N/A,TRUE,"Bridge00";"Working View with Notes2",#N/A,TRUE,"cnsoled_IS";"Working View with Notes2",#N/A,TRUE,"cnsol_incYTD v plan";"Working View with Notes2",#N/A,TRUE,"cnsol_incYTD v PY";"Working View with Notes2",#N/A,TRUE,"Fcst1 qtrly";"Working View with Notes2",#N/A,TRUE,"Fcst1 Qtrly Earnings";"Working View with Notes2",#N/A,TRUE,"AR";"Working View with Notes2",#N/A,TRUE,"INV";"Working View with Notes2",#N/A,TRUE,"Inc Trend";"Working View with Notes2",#N/A,TRUE,"cnsol_inc v p";"Working View with Notes2",#N/A,TRUE,"cnsol_inc v PY";"Working View with Notes2",#N/A,TRUE,"F1 BS";"Working View with Notes2",#N/A,TRUE,"cash flow";"Working View with Notes2",#N/A,TRUE,"TITLE PF";"Working View with Notes2",#N/A,TRUE,"cnsol_incYTDpf v PYpf";"Working View with Notes2",#N/A,TRUE,"cnsol_inc v PYpf";"Working View with Notes2",#N/A,TRUE,"CapExPF";"Working View with Notes2",#N/A,TRUE,"Major Projects";"Working View with Notes2",#N/A,TRUE,"MAR"}</definedName>
    <definedName name="wrn.Working._.Version." hidden="1">{"Working View with Notes2",#N/A,TRUE,"Hilight_YTD";"Working View with Notes2",#N/A,TRUE,"BridgeP";"Working View with Notes2",#N/A,TRUE,"Bridge00";"Working View with Notes2",#N/A,TRUE,"cnsoled_IS";"Working View with Notes2",#N/A,TRUE,"cnsol_incYTD v plan";"Working View with Notes2",#N/A,TRUE,"cnsol_incYTD v PY";"Working View with Notes2",#N/A,TRUE,"Fcst1 qtrly";"Working View with Notes2",#N/A,TRUE,"Fcst1 Qtrly Earnings";"Working View with Notes2",#N/A,TRUE,"AR";"Working View with Notes2",#N/A,TRUE,"INV";"Working View with Notes2",#N/A,TRUE,"Inc Trend";"Working View with Notes2",#N/A,TRUE,"cnsol_inc v p";"Working View with Notes2",#N/A,TRUE,"cnsol_inc v PY";"Working View with Notes2",#N/A,TRUE,"F1 BS";"Working View with Notes2",#N/A,TRUE,"cash flow";"Working View with Notes2",#N/A,TRUE,"TITLE PF";"Working View with Notes2",#N/A,TRUE,"cnsol_incYTDpf v PYpf";"Working View with Notes2",#N/A,TRUE,"cnsol_inc v PYpf";"Working View with Notes2",#N/A,TRUE,"CapExPF";"Working View with Notes2",#N/A,TRUE,"Major Projects";"Working View with Notes2",#N/A,TRUE,"MAR"}</definedName>
    <definedName name="wrn1.fullreport" localSheetId="0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1.fullreport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1.printall" localSheetId="0" hidden="1">{"page1",#N/A,FALSE,"DCM";"page2",#N/A,FALSE,"DCM";"page3",#N/A,FALSE,"DCM";"page4",#N/A,FALSE,"DCM";"page5",#N/A,FALSE,"DCM";"page6",#N/A,FALSE,"DCM";"page7",#N/A,FALSE,"DCM";"page8",#N/A,FALSE,"DCM"}</definedName>
    <definedName name="wrn1.printall" hidden="1">{"page1",#N/A,FALSE,"DCM";"page2",#N/A,FALSE,"DCM";"page3",#N/A,FALSE,"DCM";"page4",#N/A,FALSE,"DCM";"page5",#N/A,FALSE,"DCM";"page6",#N/A,FALSE,"DCM";"page7",#N/A,FALSE,"DCM";"page8",#N/A,FALSE,"DCM"}</definedName>
    <definedName name="WSASM">#REF!</definedName>
    <definedName name="WSPax">#REF!</definedName>
    <definedName name="WSRev">#REF!</definedName>
    <definedName name="xxxxxxx">'[29]General Departmental Expenses'!#REF!,'[29]General Departmental Expenses'!$D$383:$V$383</definedName>
    <definedName name="xxxxxxxx">'[29]General Departmental Expenses'!$V$19,'[29]General Departmental Expenses'!$V$74,'[29]General Departmental Expenses'!$V$99,'[29]General Departmental Expenses'!$V$122</definedName>
    <definedName name="year">#REF!</definedName>
    <definedName name="year1998">#REF!</definedName>
    <definedName name="year2">#REF!</definedName>
    <definedName name="Year2_detail">#REF!</definedName>
    <definedName name="yenexch">'[8]Input'!#REF!</definedName>
    <definedName name="YTD">#REF!</definedName>
    <definedName name="Z">#REF!</definedName>
  </definedNames>
  <calcPr fullCalcOnLoad="1"/>
</workbook>
</file>

<file path=xl/comments5.xml><?xml version="1.0" encoding="utf-8"?>
<comments xmlns="http://schemas.openxmlformats.org/spreadsheetml/2006/main">
  <authors>
    <author>andres</author>
  </authors>
  <commentList>
    <comment ref="D23" authorId="0">
      <text>
        <r>
          <rPr>
            <b/>
            <sz val="8"/>
            <rFont val="Tahoma"/>
            <family val="2"/>
          </rPr>
          <t>When solving for all installations, this is used as an initial guess since the model minimizes this number based on the target DSCR.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When solving for all installations, this is used as an initial guess since the model minimizes this number based on the target DSCR.</t>
        </r>
        <r>
          <rPr>
            <sz val="8"/>
            <rFont val="Tahoma"/>
            <family val="2"/>
          </rPr>
          <t xml:space="preserve">
</t>
        </r>
      </text>
    </comment>
    <comment ref="AG23" authorId="0">
      <text>
        <r>
          <rPr>
            <b/>
            <sz val="8"/>
            <rFont val="Tahoma"/>
            <family val="2"/>
          </rPr>
          <t>When solving for all installations, this is used as an initial guess since the model minimizes this number based on the target DSCR.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<sst xmlns="http://schemas.openxmlformats.org/spreadsheetml/2006/main" count="1300" uniqueCount="385">
  <si>
    <t>System Design</t>
  </si>
  <si>
    <t>Total System Cost</t>
  </si>
  <si>
    <t>Tax Credit Rate</t>
  </si>
  <si>
    <t>Basis Reduction (50% of ITC)</t>
  </si>
  <si>
    <t>Year</t>
  </si>
  <si>
    <t>Total Revenue</t>
  </si>
  <si>
    <t>O&amp;M Costs</t>
  </si>
  <si>
    <t>Insurance Costs</t>
  </si>
  <si>
    <t>Total Costs</t>
  </si>
  <si>
    <t>Other</t>
  </si>
  <si>
    <t>(in actual dollars)</t>
  </si>
  <si>
    <t>Financing</t>
  </si>
  <si>
    <t>Tax Assumptions</t>
  </si>
  <si>
    <t>Federal Tax Rate</t>
  </si>
  <si>
    <t>State Tax Rate</t>
  </si>
  <si>
    <t>Effective Tax Rate</t>
  </si>
  <si>
    <t>Interest Expense</t>
  </si>
  <si>
    <t>Beginning Balance</t>
  </si>
  <si>
    <t>Debt Service</t>
  </si>
  <si>
    <t>Interest</t>
  </si>
  <si>
    <t>Ending Balance</t>
  </si>
  <si>
    <t>Debt Schedule</t>
  </si>
  <si>
    <t>Output</t>
  </si>
  <si>
    <t>Degradation Factor</t>
  </si>
  <si>
    <t>NPV</t>
  </si>
  <si>
    <t>Cost of Equity</t>
  </si>
  <si>
    <t>Levelized Cost of Generation ($/kWh)</t>
  </si>
  <si>
    <t>% Financed w/ equity</t>
  </si>
  <si>
    <t>% Financed w/ debt</t>
  </si>
  <si>
    <t>Debt Interest rate</t>
  </si>
  <si>
    <t>Debt period in years</t>
  </si>
  <si>
    <t>WACC</t>
  </si>
  <si>
    <t>Equity Amount</t>
  </si>
  <si>
    <t>Debt Amount</t>
  </si>
  <si>
    <t>Debt Interest Rate</t>
  </si>
  <si>
    <t>Debt Period in Years</t>
  </si>
  <si>
    <t>O&amp;M Costs ($/kW)</t>
  </si>
  <si>
    <t>O&amp;M Costs Escalator (%/yr)</t>
  </si>
  <si>
    <t>Inverter replacement time (in Years)</t>
  </si>
  <si>
    <t>Insurance Escalator (%/yr)</t>
  </si>
  <si>
    <t>Inverter replacement cost ($/W)</t>
  </si>
  <si>
    <t>Insurance Expense ($/kW)</t>
  </si>
  <si>
    <t>Degradation Factor (%/yr)</t>
  </si>
  <si>
    <t>O&amp;M Cost Escalator (%/yr)</t>
  </si>
  <si>
    <t>Inverter replacement time (Years)</t>
  </si>
  <si>
    <t>DSCR</t>
  </si>
  <si>
    <t>Principal</t>
  </si>
  <si>
    <t>Operating Profit</t>
  </si>
  <si>
    <t>System lifetime (in Years) = PPA Term</t>
  </si>
  <si>
    <t>Debt Service Reserve</t>
  </si>
  <si>
    <t>Sum of Debt Service</t>
  </si>
  <si>
    <t>Target DSCR</t>
  </si>
  <si>
    <t>Total CFADS required</t>
  </si>
  <si>
    <t>Average of DSCRs</t>
  </si>
  <si>
    <t>CFADS / DS</t>
  </si>
  <si>
    <t>Check:  CFADS yields sufficient coverage</t>
  </si>
  <si>
    <t>Net</t>
  </si>
  <si>
    <t>CFADS over debt term</t>
  </si>
  <si>
    <t>Debt Term Flag</t>
  </si>
  <si>
    <t>Percent Financed with Equity</t>
  </si>
  <si>
    <t>Cash Flow Available for Debt Service (CFADS)</t>
  </si>
  <si>
    <t>Debt Service Coverage Ratio (DSCR)</t>
  </si>
  <si>
    <t>Initial Funding</t>
  </si>
  <si>
    <t>Withdrawal</t>
  </si>
  <si>
    <t>Interest Rate</t>
  </si>
  <si>
    <t>Earned Interest</t>
  </si>
  <si>
    <t>Interest Rate on DSRF</t>
  </si>
  <si>
    <t>Interest earned on DSRF</t>
  </si>
  <si>
    <t>System lifetime (Years)</t>
  </si>
  <si>
    <t>Subtotal Cost</t>
  </si>
  <si>
    <t>NPV of EBIT</t>
  </si>
  <si>
    <t>Level Cost Grossed for Taxes</t>
  </si>
  <si>
    <t>Cost in year 1 $</t>
  </si>
  <si>
    <t>Loan Repayment Expense (Principal)</t>
  </si>
  <si>
    <t>Debt Service Fund</t>
  </si>
  <si>
    <t>Levelization of Cost</t>
  </si>
  <si>
    <t>Net Finance Costs</t>
  </si>
  <si>
    <t>Equity Investment</t>
  </si>
  <si>
    <t>After-Tax Equity Cash Flow</t>
  </si>
  <si>
    <t>Present value of output (kWh)</t>
  </si>
  <si>
    <t>Expense and Debt Cost</t>
  </si>
  <si>
    <r>
      <t xml:space="preserve">Taxes </t>
    </r>
    <r>
      <rPr>
        <sz val="10"/>
        <rFont val="Arial"/>
        <family val="0"/>
      </rPr>
      <t>Saved/(Paid)</t>
    </r>
  </si>
  <si>
    <t>Performance Inputs</t>
  </si>
  <si>
    <t>Cost of Generation ($/kWh)</t>
  </si>
  <si>
    <t xml:space="preserve">Operating Revenue </t>
  </si>
  <si>
    <t>$/MWh</t>
  </si>
  <si>
    <t xml:space="preserve">Levelized </t>
  </si>
  <si>
    <t>MACRS Term</t>
  </si>
  <si>
    <t>Term</t>
  </si>
  <si>
    <t>MACRS Schedule</t>
  </si>
  <si>
    <t>5 + Bonus</t>
  </si>
  <si>
    <t>Target minimum DSCR</t>
  </si>
  <si>
    <t>Discount Rate</t>
  </si>
  <si>
    <t>Level subtotal cost ($/kWh)</t>
  </si>
  <si>
    <t>Taxes</t>
  </si>
  <si>
    <t>Inverter Replacement Cost</t>
  </si>
  <si>
    <t xml:space="preserve">Inverter Replacement Costs </t>
  </si>
  <si>
    <t>Taxable operating income</t>
  </si>
  <si>
    <t>Depreciation schedule (assumes LLP entity)</t>
  </si>
  <si>
    <t>Depreciation  Basis</t>
  </si>
  <si>
    <t xml:space="preserve">Depreciation </t>
  </si>
  <si>
    <t>Taxable income</t>
  </si>
  <si>
    <t>Tax  refund/(paid)</t>
  </si>
  <si>
    <t>Federal</t>
  </si>
  <si>
    <t>Depreciation schedule</t>
  </si>
  <si>
    <t>Depreciation basis</t>
  </si>
  <si>
    <t>Depreciation</t>
  </si>
  <si>
    <t>State taxes rebate/(paid)</t>
  </si>
  <si>
    <t>Tax refund/(paid)</t>
  </si>
  <si>
    <t>Investment tax credit</t>
  </si>
  <si>
    <t>Total tax refund/(paid)</t>
  </si>
  <si>
    <t>Initial debt service reserve funding</t>
  </si>
  <si>
    <t>State Tax benefits</t>
  </si>
  <si>
    <t>Fed Tax benefits</t>
  </si>
  <si>
    <t>Federal tax refund (paid)</t>
  </si>
  <si>
    <t>State tax refund/(paid)</t>
  </si>
  <si>
    <t>Investment Tax Credit Rate</t>
  </si>
  <si>
    <t>DC Capacity Factor</t>
  </si>
  <si>
    <t>Sizes</t>
  </si>
  <si>
    <t>Location</t>
  </si>
  <si>
    <t>Cost and Performance Inputs</t>
  </si>
  <si>
    <t>Annual DC Capacity Factor</t>
  </si>
  <si>
    <t>System Cost ($/watt DC)</t>
  </si>
  <si>
    <t>Inverter Replacement Fund</t>
  </si>
  <si>
    <t>Final Operations Year Withdrawal</t>
  </si>
  <si>
    <t>Net Cash Flow</t>
  </si>
  <si>
    <t>Annual inverter amount to reserve</t>
  </si>
  <si>
    <t>After-Tax WACC</t>
  </si>
  <si>
    <t>Escalator</t>
  </si>
  <si>
    <t>0.5 - 2 MW Rooftop / Fixed Tilt</t>
  </si>
  <si>
    <t>System Size (DC) (MW)</t>
  </si>
  <si>
    <t>Energy Production (MWh)</t>
  </si>
  <si>
    <t>Annual Output for Year 1 (MWh)</t>
  </si>
  <si>
    <t>Prepared by:</t>
  </si>
  <si>
    <t>Contents:</t>
  </si>
  <si>
    <t>Color Scheme:</t>
  </si>
  <si>
    <t>User Inputs</t>
  </si>
  <si>
    <t>Dashboard</t>
  </si>
  <si>
    <t>Annual cash flows for selected technology and location</t>
  </si>
  <si>
    <t>LTPP Solar PV Pricing Pro Forma Tool</t>
  </si>
  <si>
    <t>Rockford</t>
  </si>
  <si>
    <t>Chicago</t>
  </si>
  <si>
    <t>Springfield</t>
  </si>
  <si>
    <t>Carbondale</t>
  </si>
  <si>
    <t>0.05 - .5 MW Rooftop / Fixed Tilt</t>
  </si>
  <si>
    <t>.5 - 2 MW Ground / Fixed-Tilt</t>
  </si>
  <si>
    <t>.5 - 2 MW Ground / Tracker</t>
  </si>
  <si>
    <t>Illinois</t>
  </si>
  <si>
    <t>Total tax benefits</t>
  </si>
  <si>
    <t>Grants</t>
  </si>
  <si>
    <t>Grants and SREC Sales</t>
  </si>
  <si>
    <t>Volume</t>
  </si>
  <si>
    <t>Price</t>
  </si>
  <si>
    <t>SREC Sales (Year 1)</t>
  </si>
  <si>
    <t>SREC Sales (Year 2)</t>
  </si>
  <si>
    <t>SREC Sales (Year 3)</t>
  </si>
  <si>
    <t>SREC Sales (Year 4)</t>
  </si>
  <si>
    <t>SREC Sales (Year 5)</t>
  </si>
  <si>
    <t>SREC Sales (Year 6)</t>
  </si>
  <si>
    <t>SREC Sales (Year 7)</t>
  </si>
  <si>
    <t>SREC Sales (Year 8)</t>
  </si>
  <si>
    <t>SREC Sales (Year 9)</t>
  </si>
  <si>
    <t>SREC Sales (Year 10)</t>
  </si>
  <si>
    <t>SREC Sales (Year 11)</t>
  </si>
  <si>
    <t>SREC Sales (Year 12)</t>
  </si>
  <si>
    <t>SREC Sales (Year 13)</t>
  </si>
  <si>
    <t>SREC Sales (Year 14)</t>
  </si>
  <si>
    <t>SREC Sales (Year 15)</t>
  </si>
  <si>
    <t>SREC Sales (Year 16)</t>
  </si>
  <si>
    <t>SREC Sales (Year 17)</t>
  </si>
  <si>
    <t>SREC Sales (Year 18)</t>
  </si>
  <si>
    <t>SREC Sales (Year 19)</t>
  </si>
  <si>
    <t>SREC Sales (Year 20)</t>
  </si>
  <si>
    <t>Grants and SREC Assumptions</t>
  </si>
  <si>
    <t>Avoided Cost of Generation ($/MWh)</t>
  </si>
  <si>
    <t>The Power Bureau</t>
  </si>
  <si>
    <t>416 South Third Street</t>
  </si>
  <si>
    <t>Chesterton, Indiana  46304</t>
  </si>
  <si>
    <t>phone:  219-921-3828</t>
  </si>
  <si>
    <t>Project Name:</t>
  </si>
  <si>
    <t>Project Owner:</t>
  </si>
  <si>
    <t>Project Description:</t>
  </si>
  <si>
    <t>Project Location:</t>
  </si>
  <si>
    <t>PPA</t>
  </si>
  <si>
    <t>In-House (Equity) Assumptions</t>
  </si>
  <si>
    <t>Lease Assumptions</t>
  </si>
  <si>
    <t>PPA Assumptions</t>
  </si>
  <si>
    <t>Energy Values</t>
  </si>
  <si>
    <t>Energy Supply</t>
  </si>
  <si>
    <t>Capacity</t>
  </si>
  <si>
    <t>Transmission</t>
  </si>
  <si>
    <t>Distribution</t>
  </si>
  <si>
    <t>Offset Electricity Value</t>
  </si>
  <si>
    <t>Site Map</t>
  </si>
  <si>
    <t>Project Overview</t>
  </si>
  <si>
    <t>Approximate Annual Output (kWh):</t>
  </si>
  <si>
    <t>Flat</t>
  </si>
  <si>
    <t>Sloped</t>
  </si>
  <si>
    <t>Roof</t>
  </si>
  <si>
    <t>Ground</t>
  </si>
  <si>
    <t>Project Assumptions</t>
  </si>
  <si>
    <t>System Size (DC) (kW)</t>
  </si>
  <si>
    <t>System Size (AC) (kW)</t>
  </si>
  <si>
    <t>Financial Assumptions</t>
  </si>
  <si>
    <t>Regional Zone</t>
  </si>
  <si>
    <t>Site Slope:</t>
  </si>
  <si>
    <t>Available Space (Square Feet)</t>
  </si>
  <si>
    <t>Site Type</t>
  </si>
  <si>
    <t>Annual SREC Sales Period</t>
  </si>
  <si>
    <t>Grant Source</t>
  </si>
  <si>
    <t>Amount</t>
  </si>
  <si>
    <t>Grant 1</t>
  </si>
  <si>
    <t>Grant 2</t>
  </si>
  <si>
    <t>Grant 3</t>
  </si>
  <si>
    <t>Grant 4</t>
  </si>
  <si>
    <t>Grant 5</t>
  </si>
  <si>
    <t>Grant 6</t>
  </si>
  <si>
    <t>10yr inverter replacement cost</t>
  </si>
  <si>
    <t>Market PriceEscalator</t>
  </si>
  <si>
    <t>Market Price (Year 1)</t>
  </si>
  <si>
    <t>Operating Revenue Offsets</t>
  </si>
  <si>
    <t>Total Avoided Costs</t>
  </si>
  <si>
    <t>Anticipated Output (MWh)</t>
  </si>
  <si>
    <t>Level subtotal cost ($/MWh)</t>
  </si>
  <si>
    <t>Estimated Rates</t>
  </si>
  <si>
    <t>Levelized Purchase Price</t>
  </si>
  <si>
    <t>Projected Grid Price</t>
  </si>
  <si>
    <t>Levelized Lease Purchase Price</t>
  </si>
  <si>
    <t>Month</t>
  </si>
  <si>
    <t>Solar Radiation</t>
  </si>
  <si>
    <t>AC Energy</t>
  </si>
  <si>
    <t>Energy Value</t>
  </si>
  <si>
    <t>Monthly</t>
  </si>
  <si>
    <t>( kWh / m2 / day )</t>
  </si>
  <si>
    <t>( kWh )</t>
  </si>
  <si>
    <t>( $ )</t>
  </si>
  <si>
    <t>Allocation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</si>
  <si>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</si>
  <si>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</si>
  <si>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</si>
  <si>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</si>
  <si>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</si>
  <si>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</si>
  <si>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</si>
  <si>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</si>
  <si>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</si>
  <si>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</si>
  <si>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</si>
  <si>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</si>
  <si>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</si>
  <si>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Conversion Factor</t>
  </si>
  <si>
    <t>Springifleld</t>
  </si>
  <si>
    <t>Annual Capacity Factor</t>
  </si>
  <si>
    <t>.05 - .5 MW Ground / Fixed-Tilt</t>
  </si>
  <si>
    <t>Year of System Operation</t>
  </si>
  <si>
    <t>Lease</t>
  </si>
  <si>
    <t>Comparative Grid Cost</t>
  </si>
  <si>
    <t xml:space="preserve">   Average $/MWh (2016)</t>
  </si>
  <si>
    <t>Annual Price Escalator for Grid Elect</t>
  </si>
  <si>
    <t>Investment from Municipality</t>
  </si>
  <si>
    <t>Purchase</t>
  </si>
  <si>
    <t>Capital cost for PV system</t>
  </si>
  <si>
    <t>Cost Projections for Proposed Solar PV Installation</t>
  </si>
  <si>
    <t>Project Background</t>
  </si>
  <si>
    <t>Own</t>
  </si>
  <si>
    <t>No</t>
  </si>
  <si>
    <t>Yes</t>
  </si>
  <si>
    <t>Key element</t>
  </si>
  <si>
    <t>Key Considerations Regarding Solar PV Contracting Options</t>
  </si>
  <si>
    <t>Is buyer responsible for Insurance?</t>
  </si>
  <si>
    <r>
      <t>PPA ($/kWh)</t>
    </r>
    <r>
      <rPr>
        <b/>
        <vertAlign val="superscript"/>
        <sz val="10"/>
        <rFont val="Arial"/>
        <family val="2"/>
      </rPr>
      <t>5</t>
    </r>
  </si>
  <si>
    <r>
      <t>Lease ($/kWh)</t>
    </r>
    <r>
      <rPr>
        <b/>
        <vertAlign val="superscript"/>
        <sz val="10"/>
        <rFont val="Arial"/>
        <family val="2"/>
      </rPr>
      <t>4</t>
    </r>
  </si>
  <si>
    <r>
      <t>Purchase ($/kWh)</t>
    </r>
    <r>
      <rPr>
        <b/>
        <vertAlign val="superscript"/>
        <sz val="10"/>
        <rFont val="Arial"/>
        <family val="2"/>
      </rPr>
      <t>3</t>
    </r>
  </si>
  <si>
    <r>
      <t>Grid Price ($/kWh)</t>
    </r>
    <r>
      <rPr>
        <b/>
        <vertAlign val="superscript"/>
        <sz val="10"/>
        <rFont val="Arial"/>
        <family val="2"/>
      </rPr>
      <t>2</t>
    </r>
  </si>
  <si>
    <r>
      <t>Average Rates for Electricity Supply ($/kWh)</t>
    </r>
    <r>
      <rPr>
        <b/>
        <vertAlign val="superscript"/>
        <sz val="10"/>
        <rFont val="Arial"/>
        <family val="2"/>
      </rPr>
      <t>1</t>
    </r>
  </si>
  <si>
    <t>2  Annual escalation rate basis per input on Dashboard tab</t>
  </si>
  <si>
    <t>1  Based on assumptions and data provided in the 'Dashboard' tab</t>
  </si>
  <si>
    <t>3  Levelized cost of electicity based on initial capital cost divided by total outputs over the 20 year operations of the solar PV asset</t>
  </si>
  <si>
    <t>4  Assumes lease for equipment, and municipal responsibility for insurance, maintenance, and operations</t>
  </si>
  <si>
    <t>5  Assumes PPA with no annual esclator</t>
  </si>
  <si>
    <t>Overview</t>
  </si>
  <si>
    <t>Primary study inputs</t>
  </si>
  <si>
    <t>Results of the cost estimation process</t>
  </si>
  <si>
    <t>Pro Forma Calculations</t>
  </si>
  <si>
    <t>MREA Program</t>
  </si>
  <si>
    <t>Are there up-front costs?</t>
  </si>
  <si>
    <t>Is there technology risk?</t>
  </si>
  <si>
    <t>Can outside grants still be used</t>
  </si>
  <si>
    <t>Can public sector monetize Investment Tax Credits?</t>
  </si>
  <si>
    <t>Can public sector monetize MACRS Depreciation credits?</t>
  </si>
  <si>
    <t>Is buyer responsible for Operations and Maintenance?</t>
  </si>
  <si>
    <t>Projected Monthly Outputs (kWh)</t>
  </si>
  <si>
    <t>Value</t>
  </si>
  <si>
    <r>
      <t xml:space="preserve">Solar Radiation                           </t>
    </r>
    <r>
      <rPr>
        <sz val="8"/>
        <rFont val="Arial"/>
        <family val="2"/>
      </rPr>
      <t xml:space="preserve">( kWh / m2 / day </t>
    </r>
    <r>
      <rPr>
        <b/>
        <sz val="10"/>
        <rFont val="Arial"/>
        <family val="2"/>
      </rPr>
      <t>)</t>
    </r>
  </si>
  <si>
    <t>AC Energy Generated (kWh)</t>
  </si>
  <si>
    <t>Meter Reading Schedule:  View Schedule </t>
  </si>
  <si>
    <t>Capacity PLC</t>
  </si>
  <si>
    <t>Start Date</t>
  </si>
  <si>
    <t>End Date</t>
  </si>
  <si>
    <t>Network Service PLC</t>
  </si>
  <si>
    <t>Minimum Stay Date</t>
  </si>
  <si>
    <t>Condo Exception</t>
  </si>
  <si>
    <t>15,000 kWh or less annually</t>
  </si>
  <si>
    <t>NO</t>
  </si>
  <si>
    <t>AC Cycling</t>
  </si>
  <si>
    <t>Net Metering</t>
  </si>
  <si>
    <t>Peak Time Savings</t>
  </si>
  <si>
    <t>Current Supply Grp.</t>
  </si>
  <si>
    <t>Effective Start Date</t>
  </si>
  <si>
    <t>Pending Supply Grp.</t>
  </si>
  <si>
    <t>COMP DECL SUPPLY GROUP</t>
  </si>
  <si>
    <t>N/A</t>
  </si>
  <si>
    <t>Rate**</t>
  </si>
  <si>
    <t>End of </t>
  </si>
  <si>
    <t>Days in </t>
  </si>
  <si>
    <t>Total</t>
  </si>
  <si>
    <t>On-Peak</t>
  </si>
  <si>
    <t>Off-Peak </t>
  </si>
  <si>
    <t>Billing </t>
  </si>
  <si>
    <t>Billing</t>
  </si>
  <si>
    <t>KWH </t>
  </si>
  <si>
    <t>Demand</t>
  </si>
  <si>
    <t>Peak </t>
  </si>
  <si>
    <t>Period</t>
  </si>
  <si>
    <t>Usage</t>
  </si>
  <si>
    <t>(KW)</t>
  </si>
  <si>
    <t>** Rate Legend:</t>
  </si>
  <si>
    <t>R75 = Retail Delivery Service - 400 kW to 1000 kW</t>
  </si>
  <si>
    <t>R76 = Retail Delivery Service - 1000 kW to 10 MW</t>
  </si>
  <si>
    <t>Peak</t>
  </si>
  <si>
    <t>Off-Peak</t>
  </si>
  <si>
    <t>Site Peak Consumpt. (kWh)</t>
  </si>
  <si>
    <t>Site Off-Peak Consumpt. (kWh)</t>
  </si>
  <si>
    <t>Site Total Consumpt. (kWh)</t>
  </si>
  <si>
    <t>Y/N</t>
  </si>
  <si>
    <t>Units</t>
  </si>
  <si>
    <t>Factor</t>
  </si>
  <si>
    <t>Total $</t>
  </si>
  <si>
    <t>Convert</t>
  </si>
  <si>
    <t>Supply</t>
  </si>
  <si>
    <t xml:space="preserve">  On-Peak (kWh)</t>
  </si>
  <si>
    <t>Y</t>
  </si>
  <si>
    <t xml:space="preserve">  Transmission (kW)</t>
  </si>
  <si>
    <t>N</t>
  </si>
  <si>
    <t xml:space="preserve">  Capacity (MW)</t>
  </si>
  <si>
    <t xml:space="preserve">    EDT Cost Recovery (kWh)</t>
  </si>
  <si>
    <t>Taxes and Riders</t>
  </si>
  <si>
    <t>State Tax</t>
  </si>
  <si>
    <t>Gross</t>
  </si>
  <si>
    <t>Rate</t>
  </si>
  <si>
    <t>Line Cost</t>
  </si>
  <si>
    <t>Run Cost</t>
  </si>
  <si>
    <t>Average Cost</t>
  </si>
  <si>
    <t>RPS</t>
  </si>
  <si>
    <t>Demand (kW)</t>
  </si>
  <si>
    <t>Capacity Factor</t>
  </si>
  <si>
    <t xml:space="preserve">  Medium Rate Class</t>
  </si>
  <si>
    <t xml:space="preserve">    Secondary Voltage DFC (kW)</t>
  </si>
  <si>
    <t xml:space="preserve">    Primary Voltage DFC (kW)</t>
  </si>
  <si>
    <t xml:space="preserve">    Primary Transformer Charge (kW)</t>
  </si>
  <si>
    <t xml:space="preserve">  Large Rate Class</t>
  </si>
  <si>
    <t xml:space="preserve">  Very Large Rate Class</t>
  </si>
  <si>
    <t xml:space="preserve">  Extra Large Rate Class</t>
  </si>
  <si>
    <t>Energy Efficiency</t>
  </si>
  <si>
    <t xml:space="preserve">  Medium, Large</t>
  </si>
  <si>
    <t xml:space="preserve">  Very Large, Extra Large</t>
  </si>
  <si>
    <t>Environmental Recovery Fee</t>
  </si>
  <si>
    <t>Grants and REC Sales</t>
  </si>
  <si>
    <t>Expenses for Muni</t>
  </si>
  <si>
    <t>Lease Cost in year 1 $</t>
  </si>
  <si>
    <t>Total Expenses</t>
  </si>
  <si>
    <r>
      <t>Summary Data for Account Number:</t>
    </r>
    <r>
      <rPr>
        <sz val="8"/>
        <color indexed="23"/>
        <rFont val="Arial"/>
        <family val="2"/>
      </rPr>
      <t> 954215000 </t>
    </r>
  </si>
  <si>
    <r>
      <t>Meter Bill Group Number:</t>
    </r>
    <r>
      <rPr>
        <sz val="8"/>
        <color indexed="23"/>
        <rFont val="Arial"/>
        <family val="2"/>
      </rPr>
      <t> 2 </t>
    </r>
  </si>
  <si>
    <t>Lake County</t>
  </si>
  <si>
    <t>Open land parcel located on western border of the property</t>
  </si>
  <si>
    <t>RV2</t>
  </si>
  <si>
    <t>Old Mill Creek</t>
  </si>
  <si>
    <t>Site Name:</t>
  </si>
  <si>
    <t>Discount Rate:</t>
  </si>
  <si>
    <t>Projected Nominal Costs</t>
  </si>
  <si>
    <t>Projected Nominal Cash Flows</t>
  </si>
  <si>
    <t>Do Nothing</t>
  </si>
  <si>
    <t>Nominal Value</t>
  </si>
  <si>
    <t>Net Present Value</t>
  </si>
  <si>
    <t>16750 W. Ancona Avenue, Old Mill Creek, Illinois (West Property)</t>
  </si>
</sst>
</file>

<file path=xl/styles.xml><?xml version="1.0" encoding="utf-8"?>
<styleSheet xmlns="http://schemas.openxmlformats.org/spreadsheetml/2006/main">
  <numFmts count="8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_);_(* \(#,##0.0\);_(* &quot;-&quot;?_);_(@_)"/>
    <numFmt numFmtId="177" formatCode="0.000"/>
    <numFmt numFmtId="178" formatCode="_(* #,##0.0_);_(* \(#,##0.0\);_(* &quot;-&quot;_);_(@_)"/>
    <numFmt numFmtId="179" formatCode="_(* #,##0.00_);_(* \(#,##0.00\);_(* &quot;-&quot;_);_(@_)"/>
    <numFmt numFmtId="180" formatCode="0.0"/>
    <numFmt numFmtId="181" formatCode="_(* #,##0.0_);_(* \(#,##0.0\);_(* &quot;-&quot;??_);_(@_)"/>
    <numFmt numFmtId="182" formatCode="0.000%"/>
    <numFmt numFmtId="183" formatCode="0.0000"/>
    <numFmt numFmtId="184" formatCode="0.0\x"/>
    <numFmt numFmtId="185" formatCode="&quot;$&quot;#,##0.00"/>
    <numFmt numFmtId="186" formatCode="&quot;$&quot;#,##0.000"/>
    <numFmt numFmtId="187" formatCode="0_);\(0\)"/>
    <numFmt numFmtId="188" formatCode="&quot;$&quot;#,##0"/>
    <numFmt numFmtId="189" formatCode="&quot;$&quot;#,##0.0"/>
    <numFmt numFmtId="190" formatCode="#,##0.0"/>
    <numFmt numFmtId="191" formatCode="#,##0.000"/>
    <numFmt numFmtId="192" formatCode="mm/dd/yy;@"/>
    <numFmt numFmtId="193" formatCode="\«#,##0;_(* #,##0;_(* &quot;-&quot;??_);_(@_)"/>
    <numFmt numFmtId="194" formatCode="_-* #,##0.0_-;\-* #,##0.0_-;_-* &quot;-&quot;??_-;_-@_-"/>
    <numFmt numFmtId="195" formatCode="0.00;[Red]0.00"/>
    <numFmt numFmtId="196" formatCode="_(* #,##0.00000_);_(* \(#,##0.00000\);_(* &quot;-&quot;??_);_(@_)"/>
    <numFmt numFmtId="197" formatCode="#,##0.00&quot; F&quot;_);\(#,##0.00&quot; F&quot;\)"/>
    <numFmt numFmtId="198" formatCode="#,##0&quot; $&quot;;\-#,##0&quot; $&quot;"/>
    <numFmt numFmtId="199" formatCode="#,##0&quot; $&quot;;[Red]\-#,##0&quot; $&quot;"/>
    <numFmt numFmtId="200" formatCode="#,##0.00&quot; $&quot;;\-#,##0.00&quot; $&quot;"/>
    <numFmt numFmtId="201" formatCode="_-* #,##0.00\ [$€-1]_-;\-* #,##0.00\ [$€-1]_-;_-* &quot;-&quot;??\ [$€-1]_-"/>
    <numFmt numFmtId="202" formatCode="#,##0.0_);\(#,##0.0\)"/>
    <numFmt numFmtId="203" formatCode="&quot;$&quot;#,##0.0_);\(&quot;$&quot;#,##0.0\)"/>
    <numFmt numFmtId="204" formatCode="_(* #,##0.0\x_);_(* \(#,##0.0\x\);_(* &quot;-&quot;??_);_(@_)"/>
    <numFmt numFmtId="205" formatCode="[$-409]mmm\-yy;@"/>
    <numFmt numFmtId="206" formatCode="&quot;Yes&quot;;;\ &quot;No&quot;"/>
    <numFmt numFmtId="207" formatCode="General_)"/>
    <numFmt numFmtId="208" formatCode="mm/dd/yy"/>
    <numFmt numFmtId="209" formatCode="#,##0.0_);[Red]\(#,##0.0\)"/>
    <numFmt numFmtId="210" formatCode="&quot;$&quot;\ \ \ #,##0;&quot;$&quot;\ \ \(#,##0\)"/>
    <numFmt numFmtId="211" formatCode="#,##0.0000_);\(#,##0.0000\)"/>
    <numFmt numFmtId="212" formatCode="0.00_);\(0.00\)"/>
    <numFmt numFmtId="213" formatCode="0.000_);\(0.000\)"/>
    <numFmt numFmtId="214" formatCode="0.0;[Red]0.0"/>
    <numFmt numFmtId="215" formatCode="[Blue]0.0%"/>
    <numFmt numFmtId="216" formatCode="[Blue]0%"/>
    <numFmt numFmtId="217" formatCode=";;;"/>
    <numFmt numFmtId="218" formatCode="&quot;$&quot;#,##0.00&quot;(l)&quot;_);\(&quot;$&quot;#,##0.00&quot;(l)&quot;\)"/>
    <numFmt numFmtId="219" formatCode="&quot;$&quot;#,##0.000_);\(&quot;$&quot;#,##0.000\)"/>
    <numFmt numFmtId="220" formatCode="#,##0.00000_);\(#,##0.00000\)"/>
    <numFmt numFmtId="221" formatCode="0.00_);\(0.00\);0.00_);@_)"/>
    <numFmt numFmtId="222" formatCode="0.00%;\(0.00%\)"/>
    <numFmt numFmtId="223" formatCode="d\.m\.yy"/>
    <numFmt numFmtId="224" formatCode="&quot;$&quot;#,##0.0;\(&quot;$&quot;#,##0.0\);&quot;$&quot;#,##0.0"/>
    <numFmt numFmtId="225" formatCode="_(&quot;$&quot;* #,##0.00_);_(&quot;$&quot;* \(#,##0.00\);_(* &quot;-&quot;_);_(@_)"/>
    <numFmt numFmtId="226" formatCode="_(&quot;$&quot;* #,##0.0_);_(&quot;$&quot;* \(#,##0.0\);_(* &quot;-&quot;_);_(@_)"/>
    <numFmt numFmtId="227" formatCode="#,##0.0\x_);\(#,##0.0\x\);&quot;-x&quot;_);@_)"/>
    <numFmt numFmtId="228" formatCode="&quot;$&quot;#,##0.0000"/>
    <numFmt numFmtId="229" formatCode="0.00000000"/>
    <numFmt numFmtId="230" formatCode="0.0000%"/>
    <numFmt numFmtId="231" formatCode="&quot;$&quot;#,##0.0000_);[Red]\(&quot;$&quot;#,##0.0000\)"/>
    <numFmt numFmtId="232" formatCode="0.000000"/>
    <numFmt numFmtId="233" formatCode="&quot;$&quot;#,##0.0_);[Red]\(&quot;$&quot;#,##0.0\)"/>
    <numFmt numFmtId="234" formatCode="_(* #,##0.0000_);_(* \(#,##0.0000\);_(* &quot;-&quot;??_);_(@_)"/>
    <numFmt numFmtId="235" formatCode="mmmm\ d\,\ yyyy"/>
    <numFmt numFmtId="236" formatCode="#,##0.0000"/>
    <numFmt numFmtId="237" formatCode="&quot;$&quot;#,##0.00000"/>
    <numFmt numFmtId="238" formatCode="&quot;$&quot;#,##0.000000"/>
    <numFmt numFmtId="239" formatCode="&quot;$&quot;#,##0.00000000"/>
  </numFmts>
  <fonts count="11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name val="Times New Roman"/>
      <family val="1"/>
    </font>
    <font>
      <sz val="8"/>
      <name val="Times"/>
      <family val="0"/>
    </font>
    <font>
      <sz val="12"/>
      <name val="Arial"/>
      <family val="2"/>
    </font>
    <font>
      <sz val="9"/>
      <name val="Palatino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10"/>
      <color indexed="12"/>
      <name val="Times New Roman"/>
      <family val="1"/>
    </font>
    <font>
      <u val="singleAccounting"/>
      <sz val="10"/>
      <name val="Arial"/>
      <family val="2"/>
    </font>
    <font>
      <b/>
      <sz val="8"/>
      <name val="Times New Roman"/>
      <family val="1"/>
    </font>
    <font>
      <sz val="8"/>
      <name val="Helv"/>
      <family val="0"/>
    </font>
    <font>
      <sz val="12"/>
      <name val="Times New Roman"/>
      <family val="1"/>
    </font>
    <font>
      <sz val="10"/>
      <name val="Times"/>
      <family val="0"/>
    </font>
    <font>
      <sz val="10"/>
      <color indexed="8"/>
      <name val="Arial"/>
      <family val="2"/>
    </font>
    <font>
      <u val="single"/>
      <sz val="8"/>
      <color indexed="12"/>
      <name val="Times New Roman"/>
      <family val="1"/>
    </font>
    <font>
      <sz val="10"/>
      <name val="MS Sans Serif"/>
      <family val="2"/>
    </font>
    <font>
      <sz val="8"/>
      <color indexed="12"/>
      <name val="Times New Roman"/>
      <family val="1"/>
    </font>
    <font>
      <u val="doubleAccounting"/>
      <sz val="1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8"/>
      <name val="Helvetica-Black"/>
      <family val="0"/>
    </font>
    <font>
      <i/>
      <sz val="14"/>
      <name val="Palatino"/>
      <family val="1"/>
    </font>
    <font>
      <sz val="10"/>
      <name val="Helv"/>
      <family val="0"/>
    </font>
    <font>
      <b/>
      <i/>
      <sz val="22"/>
      <name val="Times New Roman"/>
      <family val="1"/>
    </font>
    <font>
      <sz val="18"/>
      <color indexed="17"/>
      <name val="Arial"/>
      <family val="2"/>
    </font>
    <font>
      <sz val="7"/>
      <name val="Small Fonts"/>
      <family val="2"/>
    </font>
    <font>
      <sz val="10"/>
      <name val="MS Serif"/>
      <family val="1"/>
    </font>
    <font>
      <sz val="10"/>
      <name val="Palatino"/>
      <family val="1"/>
    </font>
    <font>
      <sz val="8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Arial"/>
      <family val="2"/>
    </font>
    <font>
      <strike/>
      <sz val="10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8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sz val="8"/>
      <color indexed="39"/>
      <name val="Arial"/>
      <family val="2"/>
    </font>
    <font>
      <sz val="7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Palatino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20"/>
      <name val="Arial"/>
      <family val="2"/>
    </font>
    <font>
      <sz val="9"/>
      <name val="Times New Roman"/>
      <family val="1"/>
    </font>
    <font>
      <sz val="8"/>
      <color indexed="18"/>
      <name val="Times New Roman"/>
      <family val="1"/>
    </font>
    <font>
      <i/>
      <sz val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Calibri"/>
      <family val="2"/>
    </font>
    <font>
      <b/>
      <sz val="12"/>
      <color indexed="63"/>
      <name val="Calibri"/>
      <family val="2"/>
    </font>
    <font>
      <sz val="14"/>
      <color indexed="63"/>
      <name val="Calibri"/>
      <family val="2"/>
    </font>
    <font>
      <sz val="9"/>
      <color indexed="63"/>
      <name val="Calibri"/>
      <family val="2"/>
    </font>
    <font>
      <sz val="8"/>
      <color indexed="23"/>
      <name val="Arial"/>
      <family val="2"/>
    </font>
    <font>
      <u val="single"/>
      <sz val="8"/>
      <color indexed="12"/>
      <name val="Arial"/>
      <family val="2"/>
    </font>
    <font>
      <sz val="8.25"/>
      <color indexed="63"/>
      <name val="Calibri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10"/>
      <color indexed="53"/>
      <name val="Arial"/>
      <family val="2"/>
    </font>
    <font>
      <b/>
      <sz val="8"/>
      <color indexed="9"/>
      <name val="Verdana"/>
      <family val="2"/>
    </font>
    <font>
      <b/>
      <sz val="8"/>
      <color indexed="23"/>
      <name val="Arial"/>
      <family val="2"/>
    </font>
    <font>
      <b/>
      <sz val="8"/>
      <color indexed="23"/>
      <name val="Tahoma"/>
      <family val="2"/>
    </font>
    <font>
      <sz val="8"/>
      <color indexed="23"/>
      <name val="Tahoma"/>
      <family val="2"/>
    </font>
    <font>
      <sz val="10"/>
      <color indexed="23"/>
      <name val="Arial"/>
      <family val="2"/>
    </font>
    <font>
      <b/>
      <sz val="16"/>
      <color indexed="63"/>
      <name val="Calibri"/>
      <family val="0"/>
    </font>
    <font>
      <sz val="16"/>
      <color indexed="63"/>
      <name val="Calibri"/>
      <family val="0"/>
    </font>
    <font>
      <b/>
      <sz val="10"/>
      <color indexed="8"/>
      <name val="Arial"/>
      <family val="0"/>
    </font>
    <font>
      <sz val="10"/>
      <color theme="1"/>
      <name val="Arial"/>
      <family val="2"/>
    </font>
    <font>
      <sz val="10"/>
      <color rgb="FF005597"/>
      <name val="Arial"/>
      <family val="2"/>
    </font>
    <font>
      <sz val="10"/>
      <color rgb="FF333333"/>
      <name val="Arial"/>
      <family val="2"/>
    </font>
    <font>
      <sz val="10"/>
      <color rgb="FFFF54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FFFFF"/>
      <name val="Verdana"/>
      <family val="2"/>
    </font>
    <font>
      <sz val="8"/>
      <color rgb="FF666666"/>
      <name val="Arial"/>
      <family val="2"/>
    </font>
    <font>
      <b/>
      <sz val="8"/>
      <color rgb="FF666666"/>
      <name val="Arial"/>
      <family val="2"/>
    </font>
    <font>
      <b/>
      <sz val="8"/>
      <color rgb="FF666666"/>
      <name val="Tahoma"/>
      <family val="2"/>
    </font>
    <font>
      <sz val="8"/>
      <color rgb="FF666666"/>
      <name val="Tahoma"/>
      <family val="2"/>
    </font>
    <font>
      <sz val="10"/>
      <color rgb="FF666666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rgb="FF507CD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83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A0A0A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A0A0A0"/>
      </bottom>
    </border>
    <border>
      <left>
        <color indexed="63"/>
      </left>
      <right>
        <color indexed="63"/>
      </right>
      <top style="medium">
        <color rgb="FFA0A0A0"/>
      </top>
      <bottom style="medium">
        <color rgb="FFA0A0A0"/>
      </bottom>
    </border>
    <border>
      <left>
        <color indexed="63"/>
      </left>
      <right style="medium">
        <color rgb="FF000000"/>
      </right>
      <top style="thick">
        <color rgb="FFD5E8F6"/>
      </top>
      <bottom style="medium">
        <color rgb="FFCCCCCC"/>
      </bottom>
    </border>
    <border>
      <left style="thick">
        <color rgb="FF000000"/>
      </left>
      <right style="medium">
        <color rgb="FF000000"/>
      </right>
      <top style="thick">
        <color rgb="FFD5E8F6"/>
      </top>
      <bottom style="medium">
        <color rgb="FFCCCCCC"/>
      </bottom>
    </border>
    <border>
      <left style="thick">
        <color rgb="FF000000"/>
      </left>
      <right>
        <color indexed="63"/>
      </right>
      <top style="thick">
        <color rgb="FFD5E8F6"/>
      </top>
      <bottom style="medium">
        <color rgb="FFCCCCCC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CCCCCC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CCCCCC"/>
      </bottom>
    </border>
    <border>
      <left style="thick">
        <color rgb="FF000000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 style="thick">
        <color rgb="FF000000"/>
      </left>
      <right style="medium">
        <color rgb="FF000000"/>
      </right>
      <top style="thick">
        <color rgb="FFD5E8F6"/>
      </top>
      <bottom>
        <color indexed="63"/>
      </bottom>
    </border>
    <border>
      <left style="thick">
        <color rgb="FF000000"/>
      </left>
      <right>
        <color indexed="63"/>
      </right>
      <top style="thick">
        <color rgb="FFD5E8F6"/>
      </top>
      <bottom>
        <color indexed="63"/>
      </bottom>
    </border>
    <border>
      <left>
        <color indexed="63"/>
      </left>
      <right style="medium">
        <color rgb="FF000000"/>
      </right>
      <top style="thick">
        <color rgb="FFD5E8F6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ck">
        <color rgb="FF000000"/>
      </right>
      <top style="thick">
        <color rgb="FFD5E8F6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CCCCCC"/>
      </bottom>
    </border>
  </borders>
  <cellStyleXfs count="51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217" fontId="6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6" fillId="0" borderId="1">
      <alignment/>
      <protection/>
    </xf>
    <xf numFmtId="38" fontId="6" fillId="0" borderId="1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8" borderId="0" applyNumberFormat="0" applyBorder="0" applyAlignment="0" applyProtection="0"/>
    <xf numFmtId="0" fontId="66" fillId="6" borderId="0" applyNumberFormat="0" applyBorder="0" applyAlignment="0" applyProtection="0"/>
    <xf numFmtId="0" fontId="66" fillId="3" borderId="0" applyNumberFormat="0" applyBorder="0" applyAlignment="0" applyProtection="0"/>
    <xf numFmtId="0" fontId="66" fillId="11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176" fontId="2" fillId="0" borderId="0" applyFont="0" applyFill="0" applyBorder="0" applyProtection="0">
      <alignment horizontal="right"/>
    </xf>
    <xf numFmtId="223" fontId="6" fillId="2" borderId="2">
      <alignment horizontal="center" vertical="center"/>
      <protection/>
    </xf>
    <xf numFmtId="223" fontId="6" fillId="2" borderId="2">
      <alignment horizontal="center" vertical="center"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9" fillId="15" borderId="0">
      <alignment horizontal="left"/>
      <protection/>
    </xf>
    <xf numFmtId="0" fontId="67" fillId="16" borderId="0" applyNumberFormat="0" applyBorder="0" applyAlignment="0" applyProtection="0"/>
    <xf numFmtId="209" fontId="10" fillId="0" borderId="0" applyFont="0" applyFill="0" applyBorder="0" applyAlignment="0" applyProtection="0"/>
    <xf numFmtId="0" fontId="3" fillId="0" borderId="0" applyNumberFormat="0" applyFont="0" applyAlignment="0">
      <protection/>
    </xf>
    <xf numFmtId="203" fontId="11" fillId="0" borderId="4" applyNumberFormat="0" applyFill="0" applyBorder="0" applyAlignment="0" applyProtection="0"/>
    <xf numFmtId="210" fontId="0" fillId="0" borderId="0" applyFont="0" applyFill="0" applyBorder="0" applyAlignment="0" applyProtection="0"/>
    <xf numFmtId="203" fontId="5" fillId="0" borderId="4" applyNumberFormat="0" applyFill="0" applyBorder="0" applyAlignment="0" applyProtection="0"/>
    <xf numFmtId="0" fontId="0" fillId="0" borderId="0" applyNumberFormat="0" applyFill="0" applyBorder="0" applyAlignment="0" applyProtection="0"/>
    <xf numFmtId="166" fontId="12" fillId="0" borderId="0">
      <alignment horizontal="right"/>
      <protection locked="0"/>
    </xf>
    <xf numFmtId="39" fontId="13" fillId="0" borderId="0" applyFont="0" applyFill="0" applyBorder="0" applyAlignment="0" applyProtection="0"/>
    <xf numFmtId="200" fontId="0" fillId="0" borderId="0" applyFill="0" applyBorder="0" applyAlignment="0">
      <protection/>
    </xf>
    <xf numFmtId="200" fontId="0" fillId="0" borderId="0" applyFill="0" applyBorder="0" applyAlignment="0">
      <protection/>
    </xf>
    <xf numFmtId="176" fontId="0" fillId="0" borderId="0" applyFill="0" applyBorder="0" applyAlignment="0">
      <protection/>
    </xf>
    <xf numFmtId="195" fontId="0" fillId="0" borderId="0" applyFill="0" applyBorder="0" applyAlignment="0">
      <protection/>
    </xf>
    <xf numFmtId="197" fontId="0" fillId="0" borderId="0" applyFill="0" applyBorder="0" applyAlignment="0">
      <protection/>
    </xf>
    <xf numFmtId="200" fontId="0" fillId="0" borderId="0" applyFill="0" applyBorder="0" applyAlignment="0">
      <protection/>
    </xf>
    <xf numFmtId="196" fontId="0" fillId="0" borderId="0" applyFill="0" applyBorder="0" applyAlignment="0">
      <protection/>
    </xf>
    <xf numFmtId="200" fontId="0" fillId="0" borderId="0" applyFill="0" applyBorder="0" applyAlignment="0">
      <protection/>
    </xf>
    <xf numFmtId="0" fontId="68" fillId="17" borderId="5" applyNumberFormat="0" applyAlignment="0" applyProtection="0"/>
    <xf numFmtId="39" fontId="10" fillId="18" borderId="0" applyNumberFormat="0" applyFont="0" applyBorder="0" applyAlignment="0">
      <protection/>
    </xf>
    <xf numFmtId="209" fontId="14" fillId="0" borderId="0" applyFont="0" applyFill="0" applyBorder="0" applyAlignment="0" applyProtection="0"/>
    <xf numFmtId="0" fontId="69" fillId="19" borderId="6" applyNumberFormat="0" applyAlignment="0" applyProtection="0"/>
    <xf numFmtId="218" fontId="15" fillId="0" borderId="7">
      <alignment horizontal="right"/>
      <protection/>
    </xf>
    <xf numFmtId="171" fontId="0" fillId="0" borderId="0" applyFont="0" applyFill="0" applyBorder="0" applyAlignment="0" applyProtection="0"/>
    <xf numFmtId="37" fontId="16" fillId="0" borderId="0">
      <alignment/>
      <protection/>
    </xf>
    <xf numFmtId="16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16" fontId="15" fillId="0" borderId="0" applyFont="0" applyFill="0" applyBorder="0" applyAlignment="0" applyProtection="0"/>
    <xf numFmtId="179" fontId="16" fillId="0" borderId="0">
      <alignment/>
      <protection/>
    </xf>
    <xf numFmtId="17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 applyNumberFormat="0" applyAlignment="0">
      <protection/>
    </xf>
    <xf numFmtId="170" fontId="0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19" fontId="16" fillId="0" borderId="0">
      <alignment/>
      <protection/>
    </xf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167" fontId="0" fillId="0" borderId="8">
      <alignment/>
      <protection locked="0"/>
    </xf>
    <xf numFmtId="216" fontId="15" fillId="0" borderId="0" applyFont="0" applyFill="0" applyBorder="0" applyAlignment="0" applyProtection="0"/>
    <xf numFmtId="180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3" fontId="0" fillId="0" borderId="0" applyFill="0" applyBorder="0">
      <alignment horizontal="right"/>
      <protection/>
    </xf>
    <xf numFmtId="177" fontId="0" fillId="0" borderId="0" applyFill="0" applyBorder="0">
      <alignment horizontal="right"/>
      <protection/>
    </xf>
    <xf numFmtId="172" fontId="0" fillId="0" borderId="7" applyFill="0" applyBorder="0">
      <alignment horizontal="right"/>
      <protection/>
    </xf>
    <xf numFmtId="14" fontId="17" fillId="0" borderId="0">
      <alignment/>
      <protection/>
    </xf>
    <xf numFmtId="208" fontId="10" fillId="0" borderId="0" applyFont="0" applyFill="0" applyBorder="0" applyAlignment="0" applyProtection="0"/>
    <xf numFmtId="14" fontId="18" fillId="0" borderId="0" applyFill="0" applyBorder="0" applyAlignment="0">
      <protection/>
    </xf>
    <xf numFmtId="14" fontId="17" fillId="0" borderId="0">
      <alignment/>
      <protection/>
    </xf>
    <xf numFmtId="14" fontId="19" fillId="0" borderId="0">
      <alignment horizontal="right"/>
      <protection locked="0"/>
    </xf>
    <xf numFmtId="14" fontId="14" fillId="0" borderId="0" applyFont="0" applyFill="0" applyBorder="0" applyAlignment="0" applyProtection="0"/>
    <xf numFmtId="188" fontId="0" fillId="0" borderId="0" applyFont="0" applyFill="0" applyBorder="0" applyAlignment="0" applyProtection="0"/>
    <xf numFmtId="38" fontId="20" fillId="0" borderId="9">
      <alignment vertical="center"/>
      <protection/>
    </xf>
    <xf numFmtId="167" fontId="10" fillId="0" borderId="0" applyFont="0" applyFill="0" applyBorder="0" applyAlignment="0" applyProtection="0"/>
    <xf numFmtId="203" fontId="10" fillId="0" borderId="0">
      <alignment/>
      <protection/>
    </xf>
    <xf numFmtId="203" fontId="21" fillId="0" borderId="0">
      <alignment/>
      <protection locked="0"/>
    </xf>
    <xf numFmtId="166" fontId="10" fillId="0" borderId="0">
      <alignment/>
      <protection/>
    </xf>
    <xf numFmtId="211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184" fontId="10" fillId="0" borderId="10" applyNumberFormat="0" applyFont="0" applyFill="0" applyAlignment="0" applyProtection="0"/>
    <xf numFmtId="168" fontId="22" fillId="0" borderId="0" applyFill="0" applyBorder="0" applyAlignment="0" applyProtection="0"/>
    <xf numFmtId="200" fontId="0" fillId="0" borderId="0" applyFill="0" applyBorder="0" applyAlignment="0">
      <protection/>
    </xf>
    <xf numFmtId="200" fontId="0" fillId="0" borderId="0" applyFill="0" applyBorder="0" applyAlignment="0">
      <protection/>
    </xf>
    <xf numFmtId="200" fontId="0" fillId="0" borderId="0" applyFill="0" applyBorder="0" applyAlignment="0">
      <protection/>
    </xf>
    <xf numFmtId="196" fontId="0" fillId="0" borderId="0" applyFill="0" applyBorder="0" applyAlignment="0">
      <protection/>
    </xf>
    <xf numFmtId="200" fontId="0" fillId="0" borderId="0" applyFill="0" applyBorder="0" applyAlignment="0">
      <protection/>
    </xf>
    <xf numFmtId="0" fontId="0" fillId="0" borderId="0" applyNumberFormat="0" applyAlignment="0">
      <protection/>
    </xf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11" applyFont="0" applyFill="0" applyBorder="0" applyAlignment="0" applyProtection="0"/>
    <xf numFmtId="0" fontId="2" fillId="0" borderId="11" applyFont="0" applyFill="0" applyBorder="0" applyAlignment="0" applyProtection="0"/>
    <xf numFmtId="0" fontId="81" fillId="0" borderId="0" applyNumberFormat="0" applyFill="0" applyBorder="0" applyAlignment="0" applyProtection="0"/>
    <xf numFmtId="193" fontId="2" fillId="0" borderId="0">
      <alignment horizontal="left"/>
      <protection/>
    </xf>
    <xf numFmtId="193" fontId="2" fillId="0" borderId="0">
      <alignment horizontal="left"/>
      <protection/>
    </xf>
    <xf numFmtId="192" fontId="2" fillId="0" borderId="0" applyFont="0" applyFill="0" applyBorder="0" applyProtection="0">
      <alignment horizontal="right"/>
    </xf>
    <xf numFmtId="0" fontId="0" fillId="0" borderId="0">
      <alignment/>
      <protection/>
    </xf>
    <xf numFmtId="0" fontId="71" fillId="6" borderId="0" applyNumberFormat="0" applyBorder="0" applyAlignment="0" applyProtection="0"/>
    <xf numFmtId="203" fontId="2" fillId="0" borderId="12" applyNumberFormat="0" applyFont="0" applyFill="0" applyAlignment="0" applyProtection="0"/>
    <xf numFmtId="203" fontId="23" fillId="0" borderId="4" applyNumberFormat="0" applyFill="0" applyBorder="0" applyAlignment="0" applyProtection="0"/>
    <xf numFmtId="38" fontId="2" fillId="15" borderId="0" applyNumberFormat="0" applyBorder="0" applyAlignment="0" applyProtection="0"/>
    <xf numFmtId="38" fontId="2" fillId="15" borderId="0" applyNumberFormat="0" applyBorder="0" applyAlignment="0" applyProtection="0"/>
    <xf numFmtId="175" fontId="0" fillId="0" borderId="0" applyFill="0" applyBorder="0" applyAlignment="0" applyProtection="0"/>
    <xf numFmtId="222" fontId="24" fillId="4" borderId="11" applyNumberFormat="0" applyFont="0" applyAlignment="0">
      <protection/>
    </xf>
    <xf numFmtId="215" fontId="15" fillId="0" borderId="0" applyFont="0" applyFill="0" applyBorder="0" applyAlignment="0" applyProtection="0"/>
    <xf numFmtId="174" fontId="0" fillId="0" borderId="0" applyNumberFormat="0" applyFill="0" applyBorder="0" applyProtection="0">
      <alignment horizontal="right"/>
    </xf>
    <xf numFmtId="0" fontId="25" fillId="0" borderId="13" applyNumberFormat="0" applyAlignment="0" applyProtection="0"/>
    <xf numFmtId="0" fontId="25" fillId="0" borderId="14">
      <alignment horizontal="left" vertical="center"/>
      <protection/>
    </xf>
    <xf numFmtId="49" fontId="26" fillId="0" borderId="11">
      <alignment horizontal="center"/>
      <protection/>
    </xf>
    <xf numFmtId="0" fontId="72" fillId="0" borderId="15" applyNumberForma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64" fillId="0" borderId="0" applyNumberFormat="0" applyFont="0" applyFill="0" applyAlignment="0" applyProtection="0"/>
    <xf numFmtId="0" fontId="27" fillId="0" borderId="0" applyProtection="0">
      <alignment horizontal="left"/>
    </xf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5" fillId="0" borderId="0" applyNumberFormat="0" applyFont="0" applyFill="0" applyAlignment="0" applyProtection="0"/>
    <xf numFmtId="0" fontId="28" fillId="0" borderId="0" applyProtection="0">
      <alignment horizontal="left"/>
    </xf>
    <xf numFmtId="0" fontId="73" fillId="0" borderId="0" applyNumberFormat="0" applyFill="0" applyBorder="0" applyAlignment="0" applyProtection="0"/>
    <xf numFmtId="202" fontId="29" fillId="0" borderId="0">
      <alignment horizontal="right"/>
      <protection/>
    </xf>
    <xf numFmtId="202" fontId="29" fillId="0" borderId="0">
      <alignment horizontal="left"/>
      <protection/>
    </xf>
    <xf numFmtId="200" fontId="0" fillId="0" borderId="0">
      <alignment/>
      <protection locked="0"/>
    </xf>
    <xf numFmtId="200" fontId="0" fillId="0" borderId="0">
      <alignment/>
      <protection locked="0"/>
    </xf>
    <xf numFmtId="0" fontId="30" fillId="0" borderId="16" applyNumberFormat="0" applyFill="0" applyBorder="0" applyAlignment="0" applyProtection="0"/>
    <xf numFmtId="0" fontId="4" fillId="0" borderId="17" applyNumberFormat="0" applyFill="0" applyAlignment="0" applyProtection="0"/>
    <xf numFmtId="0" fontId="80" fillId="0" borderId="0" applyNumberFormat="0" applyFill="0" applyBorder="0" applyAlignment="0" applyProtection="0"/>
    <xf numFmtId="209" fontId="10" fillId="0" borderId="0" applyFont="0" applyFill="0" applyBorder="0" applyAlignment="0" applyProtection="0"/>
    <xf numFmtId="0" fontId="29" fillId="20" borderId="18" applyNumberFormat="0" applyFont="0" applyBorder="0" applyAlignment="0" applyProtection="0"/>
    <xf numFmtId="37" fontId="0" fillId="4" borderId="0">
      <alignment/>
      <protection/>
    </xf>
    <xf numFmtId="10" fontId="2" fillId="4" borderId="11" applyNumberFormat="0" applyBorder="0" applyAlignment="0" applyProtection="0"/>
    <xf numFmtId="10" fontId="2" fillId="4" borderId="11" applyNumberFormat="0" applyBorder="0" applyAlignment="0" applyProtection="0"/>
    <xf numFmtId="173" fontId="0" fillId="4" borderId="0">
      <alignment/>
      <protection/>
    </xf>
    <xf numFmtId="10" fontId="0" fillId="4" borderId="0">
      <alignment/>
      <protection/>
    </xf>
    <xf numFmtId="37" fontId="0" fillId="4" borderId="0">
      <alignment/>
      <protection/>
    </xf>
    <xf numFmtId="203" fontId="0" fillId="0" borderId="19" applyFill="0" applyBorder="0" applyAlignment="0" applyProtection="0"/>
    <xf numFmtId="0" fontId="0" fillId="20" borderId="20" applyBorder="0" applyAlignment="0" applyProtection="0"/>
    <xf numFmtId="185" fontId="0" fillId="0" borderId="0">
      <alignment horizontal="left"/>
      <protection/>
    </xf>
    <xf numFmtId="200" fontId="0" fillId="0" borderId="0" applyFill="0" applyBorder="0" applyAlignment="0">
      <protection/>
    </xf>
    <xf numFmtId="200" fontId="0" fillId="0" borderId="0" applyFill="0" applyBorder="0" applyAlignment="0">
      <protection/>
    </xf>
    <xf numFmtId="200" fontId="0" fillId="0" borderId="0" applyFill="0" applyBorder="0" applyAlignment="0">
      <protection/>
    </xf>
    <xf numFmtId="196" fontId="0" fillId="0" borderId="0" applyFill="0" applyBorder="0" applyAlignment="0">
      <protection/>
    </xf>
    <xf numFmtId="200" fontId="0" fillId="0" borderId="0" applyFill="0" applyBorder="0" applyAlignment="0">
      <protection/>
    </xf>
    <xf numFmtId="0" fontId="74" fillId="0" borderId="21" applyNumberFormat="0" applyFill="0" applyAlignment="0" applyProtection="0"/>
    <xf numFmtId="0" fontId="0" fillId="0" borderId="22" applyBorder="0">
      <alignment/>
      <protection/>
    </xf>
    <xf numFmtId="202" fontId="31" fillId="21" borderId="0" applyNumberFormat="0" applyFont="0" applyFill="0" applyBorder="0" applyAlignment="0">
      <protection/>
    </xf>
    <xf numFmtId="175" fontId="0" fillId="0" borderId="0" applyFill="0" applyBorder="0" applyAlignment="0" applyProtection="0"/>
    <xf numFmtId="205" fontId="2" fillId="0" borderId="0" applyFont="0" applyFill="0" applyBorder="0" applyProtection="0">
      <alignment horizontal="right"/>
    </xf>
    <xf numFmtId="0" fontId="0" fillId="0" borderId="0" applyNumberFormat="0">
      <alignment horizontal="right"/>
      <protection/>
    </xf>
    <xf numFmtId="204" fontId="2" fillId="0" borderId="0" applyFill="0" applyBorder="0" applyProtection="0">
      <alignment horizontal="right"/>
    </xf>
    <xf numFmtId="189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75" fillId="7" borderId="0" applyNumberFormat="0" applyBorder="0" applyAlignment="0" applyProtection="0"/>
    <xf numFmtId="227" fontId="6" fillId="0" borderId="0" applyFont="0" applyFill="0" applyBorder="0" applyAlignment="0" applyProtection="0"/>
    <xf numFmtId="37" fontId="32" fillId="0" borderId="0">
      <alignment/>
      <protection/>
    </xf>
    <xf numFmtId="182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2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32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4" borderId="23" applyNumberFormat="0" applyFont="0" applyAlignment="0" applyProtection="0"/>
    <xf numFmtId="0" fontId="0" fillId="4" borderId="23" applyNumberFormat="0" applyFont="0" applyAlignment="0" applyProtection="0"/>
    <xf numFmtId="1" fontId="21" fillId="0" borderId="0">
      <alignment horizontal="right"/>
      <protection locked="0"/>
    </xf>
    <xf numFmtId="180" fontId="35" fillId="0" borderId="0">
      <alignment horizontal="right"/>
      <protection locked="0"/>
    </xf>
    <xf numFmtId="202" fontId="21" fillId="0" borderId="0">
      <alignment/>
      <protection locked="0"/>
    </xf>
    <xf numFmtId="2" fontId="35" fillId="0" borderId="0">
      <alignment horizontal="right"/>
      <protection locked="0"/>
    </xf>
    <xf numFmtId="2" fontId="21" fillId="0" borderId="0">
      <alignment horizontal="right"/>
      <protection locked="0"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89" fontId="0" fillId="0" borderId="0" applyFill="0" applyBorder="0">
      <alignment horizontal="right"/>
      <protection/>
    </xf>
    <xf numFmtId="212" fontId="0" fillId="0" borderId="0" applyFill="0" applyBorder="0">
      <alignment horizontal="right"/>
      <protection/>
    </xf>
    <xf numFmtId="182" fontId="29" fillId="0" borderId="0" applyFill="0" applyBorder="0">
      <alignment horizontal="right"/>
      <protection/>
    </xf>
    <xf numFmtId="0" fontId="29" fillId="0" borderId="24" applyNumberFormat="0" applyFont="0" applyFill="0" applyAlignment="0" applyProtection="0"/>
    <xf numFmtId="0" fontId="76" fillId="17" borderId="25" applyNumberFormat="0" applyAlignment="0" applyProtection="0"/>
    <xf numFmtId="40" fontId="18" fillId="17" borderId="0">
      <alignment horizontal="right"/>
      <protection/>
    </xf>
    <xf numFmtId="0" fontId="36" fillId="4" borderId="0">
      <alignment horizontal="center"/>
      <protection/>
    </xf>
    <xf numFmtId="0" fontId="37" fillId="22" borderId="26">
      <alignment/>
      <protection/>
    </xf>
    <xf numFmtId="0" fontId="38" fillId="0" borderId="0" applyBorder="0">
      <alignment horizontal="centerContinuous"/>
      <protection/>
    </xf>
    <xf numFmtId="0" fontId="39" fillId="0" borderId="0" applyBorder="0">
      <alignment horizontal="centerContinuous"/>
      <protection/>
    </xf>
    <xf numFmtId="1" fontId="40" fillId="0" borderId="0" applyProtection="0">
      <alignment horizontal="right" vertical="center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2" fontId="16" fillId="0" borderId="0">
      <alignment/>
      <protection/>
    </xf>
    <xf numFmtId="173" fontId="10" fillId="0" borderId="0">
      <alignment horizontal="right"/>
      <protection/>
    </xf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>
      <alignment/>
      <protection/>
    </xf>
    <xf numFmtId="10" fontId="0" fillId="0" borderId="0" applyFont="0" applyFill="0" applyBorder="0" applyAlignment="0" applyProtection="0"/>
    <xf numFmtId="182" fontId="0" fillId="0" borderId="0">
      <alignment/>
      <protection/>
    </xf>
    <xf numFmtId="173" fontId="29" fillId="0" borderId="0">
      <alignment/>
      <protection/>
    </xf>
    <xf numFmtId="173" fontId="21" fillId="0" borderId="0">
      <alignment/>
      <protection/>
    </xf>
    <xf numFmtId="187" fontId="0" fillId="0" borderId="0">
      <alignment/>
      <protection/>
    </xf>
    <xf numFmtId="10" fontId="21" fillId="0" borderId="0">
      <alignment/>
      <protection locked="0"/>
    </xf>
    <xf numFmtId="190" fontId="0" fillId="0" borderId="0" applyFont="0" applyFill="0" applyBorder="0" applyAlignment="0" applyProtection="0"/>
    <xf numFmtId="209" fontId="10" fillId="0" borderId="0" applyFont="0" applyFill="0" applyBorder="0" applyAlignment="0" applyProtection="0"/>
    <xf numFmtId="200" fontId="0" fillId="0" borderId="0" applyFill="0" applyBorder="0" applyAlignment="0">
      <protection/>
    </xf>
    <xf numFmtId="200" fontId="0" fillId="0" borderId="0" applyFill="0" applyBorder="0" applyAlignment="0">
      <protection/>
    </xf>
    <xf numFmtId="200" fontId="0" fillId="0" borderId="0" applyFill="0" applyBorder="0" applyAlignment="0">
      <protection/>
    </xf>
    <xf numFmtId="196" fontId="0" fillId="0" borderId="0" applyFill="0" applyBorder="0" applyAlignment="0">
      <protection/>
    </xf>
    <xf numFmtId="200" fontId="0" fillId="0" borderId="0" applyFill="0" applyBorder="0" applyAlignment="0">
      <protection/>
    </xf>
    <xf numFmtId="38" fontId="10" fillId="0" borderId="0" applyFont="0" applyFill="0" applyBorder="0" applyAlignment="0" applyProtection="0"/>
    <xf numFmtId="219" fontId="29" fillId="0" borderId="0" applyProtection="0">
      <alignment horizontal="right"/>
    </xf>
    <xf numFmtId="219" fontId="29" fillId="0" borderId="0">
      <alignment horizontal="right"/>
      <protection locked="0"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0" fillId="0" borderId="27">
      <alignment horizontal="center"/>
      <protection/>
    </xf>
    <xf numFmtId="3" fontId="20" fillId="0" borderId="0" applyFont="0" applyFill="0" applyBorder="0" applyAlignment="0" applyProtection="0"/>
    <xf numFmtId="0" fontId="20" fillId="23" borderId="0" applyNumberFormat="0" applyFont="0" applyBorder="0" applyAlignment="0" applyProtection="0"/>
    <xf numFmtId="0" fontId="41" fillId="0" borderId="0">
      <alignment/>
      <protection/>
    </xf>
    <xf numFmtId="208" fontId="15" fillId="0" borderId="0" applyNumberFormat="0" applyFill="0" applyBorder="0" applyAlignment="0" applyProtection="0"/>
    <xf numFmtId="0" fontId="0" fillId="0" borderId="28">
      <alignment vertical="center"/>
      <protection/>
    </xf>
    <xf numFmtId="0" fontId="17" fillId="0" borderId="29">
      <alignment/>
      <protection/>
    </xf>
    <xf numFmtId="209" fontId="10" fillId="0" borderId="0" applyFont="0" applyFill="0" applyBorder="0" applyAlignment="0" applyProtection="0"/>
    <xf numFmtId="168" fontId="13" fillId="0" borderId="0" applyFill="0" applyBorder="0" applyAlignment="0" applyProtection="0"/>
    <xf numFmtId="0" fontId="34" fillId="0" borderId="0">
      <alignment horizontal="center"/>
      <protection/>
    </xf>
    <xf numFmtId="0" fontId="42" fillId="0" borderId="0">
      <alignment/>
      <protection/>
    </xf>
    <xf numFmtId="232" fontId="0" fillId="0" borderId="0">
      <alignment horizontal="left" wrapText="1"/>
      <protection/>
    </xf>
    <xf numFmtId="4" fontId="2" fillId="0" borderId="0" applyFill="0" applyBorder="0" applyProtection="0">
      <alignment horizontal="right"/>
    </xf>
    <xf numFmtId="0" fontId="2" fillId="0" borderId="0" applyNumberFormat="0" applyFill="0" applyBorder="0" applyProtection="0">
      <alignment horizontal="left"/>
    </xf>
    <xf numFmtId="190" fontId="2" fillId="0" borderId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190" fontId="43" fillId="24" borderId="0" applyBorder="0" applyProtection="0">
      <alignment horizontal="left" vertical="top" wrapText="1"/>
    </xf>
    <xf numFmtId="190" fontId="44" fillId="0" borderId="0" applyFill="0" applyBorder="0" applyProtection="0">
      <alignment horizontal="left" vertical="top" wrapText="1"/>
    </xf>
    <xf numFmtId="0" fontId="45" fillId="24" borderId="0" applyNumberFormat="0" applyBorder="0" applyProtection="0">
      <alignment vertical="top" wrapText="1"/>
    </xf>
    <xf numFmtId="0" fontId="46" fillId="25" borderId="0" applyNumberFormat="0" applyBorder="0" applyProtection="0">
      <alignment vertical="top" wrapText="1"/>
    </xf>
    <xf numFmtId="190" fontId="47" fillId="0" borderId="0" applyFill="0" applyBorder="0" applyProtection="0">
      <alignment horizontal="left" wrapText="1"/>
    </xf>
    <xf numFmtId="3" fontId="24" fillId="0" borderId="0" applyFill="0" applyBorder="0" applyProtection="0">
      <alignment horizontal="left" wrapText="1"/>
    </xf>
    <xf numFmtId="3" fontId="24" fillId="0" borderId="0" applyFill="0" applyBorder="0" applyProtection="0">
      <alignment horizontal="left" wrapText="1"/>
    </xf>
    <xf numFmtId="0" fontId="48" fillId="0" borderId="16" applyNumberFormat="0" applyFill="0" applyProtection="0">
      <alignment horizontal="left" vertical="top" wrapText="1"/>
    </xf>
    <xf numFmtId="208" fontId="2" fillId="0" borderId="0" applyFill="0" applyBorder="0" applyProtection="0">
      <alignment horizontal="left" wrapText="1"/>
    </xf>
    <xf numFmtId="190" fontId="24" fillId="0" borderId="0" applyFill="0" applyBorder="0" applyProtection="0">
      <alignment horizontal="center" wrapText="1"/>
    </xf>
    <xf numFmtId="190" fontId="24" fillId="0" borderId="0" applyFill="0" applyBorder="0" applyProtection="0">
      <alignment horizontal="center" wrapText="1"/>
    </xf>
    <xf numFmtId="190" fontId="47" fillId="0" borderId="0" applyFill="0" applyBorder="0" applyProtection="0">
      <alignment horizontal="center" wrapText="1"/>
    </xf>
    <xf numFmtId="190" fontId="49" fillId="25" borderId="0" applyBorder="0" applyProtection="0">
      <alignment horizontal="left" wrapText="1"/>
    </xf>
    <xf numFmtId="0" fontId="24" fillId="0" borderId="0" applyNumberFormat="0" applyFill="0" applyBorder="0" applyProtection="0">
      <alignment horizontal="left" vertical="top" wrapText="1"/>
    </xf>
    <xf numFmtId="0" fontId="24" fillId="0" borderId="0" applyNumberFormat="0" applyFill="0" applyBorder="0" applyProtection="0">
      <alignment horizontal="left" vertical="top" wrapText="1"/>
    </xf>
    <xf numFmtId="0" fontId="24" fillId="0" borderId="0" applyNumberFormat="0" applyFill="0" applyBorder="0" applyProtection="0">
      <alignment horizontal="left" wrapText="1"/>
    </xf>
    <xf numFmtId="0" fontId="24" fillId="0" borderId="0" applyNumberFormat="0" applyFill="0" applyBorder="0" applyProtection="0">
      <alignment horizontal="left" wrapText="1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right" vertical="top" wrapText="1"/>
    </xf>
    <xf numFmtId="0" fontId="24" fillId="0" borderId="0" applyNumberFormat="0" applyFill="0" applyBorder="0" applyProtection="0">
      <alignment horizontal="right" vertical="top" wrapText="1"/>
    </xf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 applyProtection="0">
      <alignment horizontal="center" vertical="top" wrapText="1"/>
    </xf>
    <xf numFmtId="0" fontId="24" fillId="0" borderId="0" applyNumberFormat="0" applyFill="0" applyBorder="0" applyProtection="0">
      <alignment horizontal="center" vertical="top" wrapText="1"/>
    </xf>
    <xf numFmtId="0" fontId="24" fillId="0" borderId="0" applyNumberFormat="0" applyFill="0" applyBorder="0" applyProtection="0">
      <alignment horizontal="center" wrapText="1"/>
    </xf>
    <xf numFmtId="0" fontId="24" fillId="0" borderId="0" applyNumberFormat="0" applyFill="0" applyBorder="0" applyProtection="0">
      <alignment horizontal="center" wrapText="1"/>
    </xf>
    <xf numFmtId="0" fontId="47" fillId="0" borderId="0" applyNumberFormat="0" applyFill="0" applyBorder="0" applyProtection="0">
      <alignment horizontal="left" vertical="top" wrapText="1"/>
    </xf>
    <xf numFmtId="4" fontId="47" fillId="0" borderId="0" applyFill="0" applyBorder="0" applyProtection="0">
      <alignment horizontal="left" vertical="top" wrapText="1"/>
    </xf>
    <xf numFmtId="0" fontId="47" fillId="0" borderId="0" applyNumberFormat="0" applyFill="0" applyBorder="0" applyProtection="0">
      <alignment horizontal="left" wrapText="1"/>
    </xf>
    <xf numFmtId="0" fontId="47" fillId="0" borderId="0" applyNumberFormat="0" applyFill="0" applyBorder="0" applyProtection="0">
      <alignment horizontal="right" vertical="top" wrapText="1"/>
    </xf>
    <xf numFmtId="0" fontId="47" fillId="0" borderId="0" applyNumberFormat="0" applyFill="0" applyBorder="0" applyProtection="0">
      <alignment horizontal="right" wrapText="1"/>
    </xf>
    <xf numFmtId="0" fontId="47" fillId="0" borderId="0" applyNumberFormat="0" applyFill="0" applyBorder="0" applyProtection="0">
      <alignment horizontal="center" vertical="top" wrapText="1"/>
    </xf>
    <xf numFmtId="0" fontId="47" fillId="0" borderId="0" applyNumberFormat="0" applyFill="0" applyBorder="0" applyProtection="0">
      <alignment horizontal="center" wrapText="1"/>
    </xf>
    <xf numFmtId="0" fontId="44" fillId="0" borderId="0" applyNumberFormat="0" applyFill="0" applyBorder="0" applyProtection="0">
      <alignment horizontal="left" vertical="top" wrapText="1"/>
    </xf>
    <xf numFmtId="0" fontId="44" fillId="0" borderId="0" applyNumberFormat="0" applyFill="0" applyBorder="0" applyProtection="0">
      <alignment horizontal="left" wrapText="1"/>
    </xf>
    <xf numFmtId="0" fontId="44" fillId="0" borderId="0" applyNumberFormat="0" applyFill="0" applyBorder="0" applyProtection="0">
      <alignment horizontal="right" vertical="top" wrapText="1"/>
    </xf>
    <xf numFmtId="0" fontId="44" fillId="0" borderId="0" applyNumberFormat="0" applyFill="0" applyBorder="0" applyProtection="0">
      <alignment horizontal="right" wrapText="1"/>
    </xf>
    <xf numFmtId="0" fontId="44" fillId="0" borderId="0" applyNumberFormat="0" applyFill="0" applyBorder="0" applyProtection="0">
      <alignment horizontal="center" vertical="top" wrapText="1"/>
    </xf>
    <xf numFmtId="0" fontId="44" fillId="0" borderId="0" applyNumberFormat="0" applyFill="0" applyBorder="0" applyProtection="0">
      <alignment horizontal="center" wrapText="1"/>
    </xf>
    <xf numFmtId="0" fontId="45" fillId="24" borderId="0" applyNumberFormat="0" applyBorder="0" applyProtection="0">
      <alignment horizontal="left" wrapText="1"/>
    </xf>
    <xf numFmtId="0" fontId="45" fillId="24" borderId="0" applyNumberFormat="0" applyBorder="0" applyProtection="0">
      <alignment horizontal="left"/>
    </xf>
    <xf numFmtId="0" fontId="45" fillId="24" borderId="0" applyNumberFormat="0" applyBorder="0" applyProtection="0">
      <alignment horizontal="right"/>
    </xf>
    <xf numFmtId="0" fontId="46" fillId="25" borderId="0" applyNumberFormat="0" applyBorder="0" applyProtection="0">
      <alignment vertical="top" wrapText="1"/>
    </xf>
    <xf numFmtId="191" fontId="46" fillId="25" borderId="0" applyBorder="0" applyProtection="0">
      <alignment vertical="top" wrapText="1"/>
    </xf>
    <xf numFmtId="4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3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4" fontId="24" fillId="0" borderId="0" applyFill="0" applyBorder="0" applyProtection="0">
      <alignment horizontal="right"/>
    </xf>
    <xf numFmtId="4" fontId="24" fillId="0" borderId="0" applyFill="0" applyBorder="0" applyProtection="0">
      <alignment horizontal="right"/>
    </xf>
    <xf numFmtId="4" fontId="44" fillId="0" borderId="0" applyFill="0" applyBorder="0" applyProtection="0">
      <alignment horizontal="right"/>
    </xf>
    <xf numFmtId="0" fontId="50" fillId="0" borderId="16" applyNumberFormat="0" applyFill="0" applyProtection="0">
      <alignment horizontal="left" vertical="top"/>
    </xf>
    <xf numFmtId="0" fontId="50" fillId="0" borderId="16" applyNumberFormat="0" applyFill="0" applyProtection="0">
      <alignment horizontal="left" vertical="top"/>
    </xf>
    <xf numFmtId="4" fontId="2" fillId="0" borderId="0" applyFill="0" applyBorder="0" applyProtection="0">
      <alignment horizontal="left"/>
    </xf>
    <xf numFmtId="4" fontId="2" fillId="0" borderId="0" applyFill="0" applyBorder="0" applyProtection="0">
      <alignment horizontal="center"/>
    </xf>
    <xf numFmtId="225" fontId="2" fillId="0" borderId="0" applyFill="0" applyBorder="0" applyProtection="0">
      <alignment horizontal="right"/>
    </xf>
    <xf numFmtId="226" fontId="2" fillId="0" borderId="0" applyFill="0" applyBorder="0" applyProtection="0">
      <alignment horizontal="right"/>
    </xf>
    <xf numFmtId="178" fontId="2" fillId="0" borderId="0" applyFill="0" applyBorder="0" applyProtection="0">
      <alignment horizontal="right"/>
    </xf>
    <xf numFmtId="208" fontId="2" fillId="0" borderId="0" applyFill="0" applyBorder="0" applyProtection="0">
      <alignment horizontal="right"/>
    </xf>
    <xf numFmtId="184" fontId="2" fillId="0" borderId="0" applyFill="0" applyBorder="0" applyProtection="0">
      <alignment horizontal="right"/>
    </xf>
    <xf numFmtId="4" fontId="2" fillId="0" borderId="0" applyFill="0" applyBorder="0" applyProtection="0">
      <alignment horizontal="center"/>
    </xf>
    <xf numFmtId="190" fontId="2" fillId="0" borderId="0" applyFill="0" applyBorder="0" applyProtection="0">
      <alignment horizontal="center"/>
    </xf>
    <xf numFmtId="0" fontId="2" fillId="0" borderId="0" applyNumberFormat="0" applyFill="0" applyBorder="0" applyProtection="0">
      <alignment horizontal="left" vertical="top" wrapText="1"/>
    </xf>
    <xf numFmtId="226" fontId="51" fillId="0" borderId="0" applyFill="0" applyBorder="0" applyProtection="0">
      <alignment horizontal="right"/>
    </xf>
    <xf numFmtId="225" fontId="51" fillId="0" borderId="0" applyFill="0" applyBorder="0" applyProtection="0">
      <alignment horizontal="right"/>
    </xf>
    <xf numFmtId="178" fontId="51" fillId="0" borderId="0" applyFill="0" applyBorder="0" applyProtection="0">
      <alignment horizontal="right"/>
    </xf>
    <xf numFmtId="14" fontId="51" fillId="0" borderId="0" applyFill="0" applyBorder="0" applyProtection="0">
      <alignment horizontal="right"/>
    </xf>
    <xf numFmtId="0" fontId="52" fillId="0" borderId="0" applyNumberFormat="0" applyFill="0" applyBorder="0" applyProtection="0">
      <alignment horizontal="left"/>
    </xf>
    <xf numFmtId="0" fontId="24" fillId="0" borderId="16" applyNumberFormat="0" applyFill="0" applyProtection="0">
      <alignment/>
    </xf>
    <xf numFmtId="0" fontId="24" fillId="0" borderId="16" applyNumberFormat="0" applyFill="0" applyProtection="0">
      <alignment/>
    </xf>
    <xf numFmtId="0" fontId="3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24" fillId="0" borderId="16" applyNumberFormat="0" applyFill="0" applyProtection="0">
      <alignment horizontal="center"/>
    </xf>
    <xf numFmtId="0" fontId="24" fillId="0" borderId="16" applyNumberFormat="0" applyFill="0" applyProtection="0">
      <alignment horizontal="center"/>
    </xf>
    <xf numFmtId="0" fontId="24" fillId="0" borderId="0" applyNumberFormat="0" applyFill="0" applyBorder="0" applyProtection="0">
      <alignment horizontal="center"/>
    </xf>
    <xf numFmtId="0" fontId="24" fillId="0" borderId="0" applyNumberFormat="0" applyFill="0" applyBorder="0" applyProtection="0">
      <alignment horizontal="center"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53" fillId="0" borderId="0">
      <alignment/>
      <protection/>
    </xf>
    <xf numFmtId="40" fontId="0" fillId="0" borderId="0" applyBorder="0">
      <alignment horizontal="right"/>
      <protection/>
    </xf>
    <xf numFmtId="0" fontId="54" fillId="0" borderId="0" applyBorder="0" applyProtection="0">
      <alignment vertical="center"/>
    </xf>
    <xf numFmtId="184" fontId="10" fillId="0" borderId="7" applyBorder="0" applyProtection="0">
      <alignment horizontal="right" vertical="center"/>
    </xf>
    <xf numFmtId="0" fontId="55" fillId="26" borderId="0" applyBorder="0" applyProtection="0">
      <alignment horizontal="centerContinuous" vertical="center"/>
    </xf>
    <xf numFmtId="0" fontId="55" fillId="27" borderId="7" applyBorder="0" applyProtection="0">
      <alignment horizontal="centerContinuous" vertical="center"/>
    </xf>
    <xf numFmtId="0" fontId="0" fillId="0" borderId="0">
      <alignment/>
      <protection/>
    </xf>
    <xf numFmtId="0" fontId="34" fillId="0" borderId="0">
      <alignment/>
      <protection/>
    </xf>
    <xf numFmtId="0" fontId="56" fillId="0" borderId="0" applyFill="0" applyBorder="0" applyProtection="0">
      <alignment horizontal="left"/>
    </xf>
    <xf numFmtId="0" fontId="57" fillId="0" borderId="30" applyFill="0" applyBorder="0" applyProtection="0">
      <alignment horizontal="left" vertical="top"/>
    </xf>
    <xf numFmtId="0" fontId="58" fillId="0" borderId="0">
      <alignment horizontal="centerContinuous"/>
      <protection/>
    </xf>
    <xf numFmtId="0" fontId="14" fillId="0" borderId="0">
      <alignment/>
      <protection/>
    </xf>
    <xf numFmtId="0" fontId="0" fillId="0" borderId="0">
      <alignment/>
      <protection/>
    </xf>
    <xf numFmtId="202" fontId="29" fillId="0" borderId="0">
      <alignment horizontal="left"/>
      <protection locked="0"/>
    </xf>
    <xf numFmtId="0" fontId="0" fillId="0" borderId="0">
      <alignment/>
      <protection/>
    </xf>
    <xf numFmtId="49" fontId="18" fillId="0" borderId="0" applyFill="0" applyBorder="0" applyAlignment="0">
      <protection/>
    </xf>
    <xf numFmtId="198" fontId="0" fillId="0" borderId="0" applyFill="0" applyBorder="0" applyAlignment="0">
      <protection/>
    </xf>
    <xf numFmtId="199" fontId="0" fillId="0" borderId="0" applyFill="0" applyBorder="0" applyAlignment="0">
      <protection/>
    </xf>
    <xf numFmtId="203" fontId="2" fillId="0" borderId="4" applyNumberFormat="0" applyFont="0" applyFill="0" applyAlignment="0" applyProtection="0"/>
    <xf numFmtId="181" fontId="2" fillId="0" borderId="7" applyNumberFormat="0" applyFont="0" applyFill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59" fillId="0" borderId="0">
      <alignment/>
      <protection/>
    </xf>
    <xf numFmtId="0" fontId="60" fillId="0" borderId="0">
      <alignment/>
      <protection/>
    </xf>
    <xf numFmtId="212" fontId="0" fillId="0" borderId="0">
      <alignment horizontal="centerContinuous"/>
      <protection/>
    </xf>
    <xf numFmtId="212" fontId="0" fillId="0" borderId="31">
      <alignment horizontal="centerContinuous"/>
      <protection/>
    </xf>
    <xf numFmtId="212" fontId="0" fillId="0" borderId="0">
      <alignment horizontal="centerContinuous"/>
      <protection locked="0"/>
    </xf>
    <xf numFmtId="212" fontId="0" fillId="0" borderId="0">
      <alignment horizontal="left"/>
      <protection/>
    </xf>
    <xf numFmtId="207" fontId="61" fillId="0" borderId="0">
      <alignment horizontal="center"/>
      <protection/>
    </xf>
    <xf numFmtId="209" fontId="61" fillId="0" borderId="0" applyNumberFormat="0" applyFill="0" applyBorder="0" applyAlignment="0" applyProtection="0"/>
    <xf numFmtId="202" fontId="29" fillId="0" borderId="0">
      <alignment horizontal="left"/>
      <protection/>
    </xf>
    <xf numFmtId="0" fontId="61" fillId="0" borderId="0">
      <alignment/>
      <protection/>
    </xf>
    <xf numFmtId="200" fontId="0" fillId="0" borderId="32">
      <alignment/>
      <protection locked="0"/>
    </xf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0" fontId="0" fillId="0" borderId="33" applyNumberFormat="0" applyFont="0" applyBorder="0" applyAlignment="0" applyProtection="0"/>
    <xf numFmtId="213" fontId="0" fillId="0" borderId="0">
      <alignment horizontal="right"/>
      <protection/>
    </xf>
    <xf numFmtId="0" fontId="0" fillId="0" borderId="0">
      <alignment horizontal="fill"/>
      <protection/>
    </xf>
    <xf numFmtId="37" fontId="2" fillId="7" borderId="0" applyNumberFormat="0" applyBorder="0" applyAlignment="0" applyProtection="0"/>
    <xf numFmtId="37" fontId="2" fillId="7" borderId="0" applyNumberFormat="0" applyBorder="0" applyAlignment="0" applyProtection="0"/>
    <xf numFmtId="37" fontId="2" fillId="7" borderId="0" applyNumberFormat="0" applyBorder="0" applyAlignment="0" applyProtection="0"/>
    <xf numFmtId="37" fontId="2" fillId="0" borderId="0">
      <alignment/>
      <protection/>
    </xf>
    <xf numFmtId="38" fontId="62" fillId="0" borderId="0" applyNumberFormat="0" applyBorder="0" applyAlignment="0">
      <protection locked="0"/>
    </xf>
    <xf numFmtId="0" fontId="74" fillId="0" borderId="0" applyNumberFormat="0" applyFill="0" applyBorder="0" applyAlignment="0" applyProtection="0"/>
    <xf numFmtId="1" fontId="10" fillId="0" borderId="0" applyFont="0" applyFill="0" applyBorder="0" applyAlignment="0" applyProtection="0"/>
    <xf numFmtId="176" fontId="10" fillId="0" borderId="7" applyBorder="0" applyProtection="0">
      <alignment horizontal="right"/>
    </xf>
    <xf numFmtId="39" fontId="13" fillId="0" borderId="0" applyFont="0" applyFill="0" applyBorder="0" applyAlignment="0" applyProtection="0"/>
    <xf numFmtId="206" fontId="2" fillId="0" borderId="0" applyFont="0" applyFill="0" applyBorder="0" applyProtection="0">
      <alignment horizontal="right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3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188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88" fontId="3" fillId="0" borderId="0" xfId="0" applyNumberFormat="1" applyFont="1" applyFill="1" applyAlignment="1">
      <alignment/>
    </xf>
    <xf numFmtId="173" fontId="3" fillId="0" borderId="0" xfId="284" applyNumberFormat="1" applyFont="1" applyFill="1" applyAlignment="1">
      <alignment/>
    </xf>
    <xf numFmtId="165" fontId="3" fillId="0" borderId="0" xfId="109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"/>
    </xf>
    <xf numFmtId="10" fontId="0" fillId="0" borderId="0" xfId="284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0" xfId="109" applyNumberFormat="1" applyFont="1" applyFill="1" applyBorder="1" applyAlignment="1">
      <alignment/>
    </xf>
    <xf numFmtId="228" fontId="3" fillId="0" borderId="0" xfId="109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right"/>
    </xf>
    <xf numFmtId="188" fontId="3" fillId="0" borderId="0" xfId="0" applyNumberFormat="1" applyFont="1" applyFill="1" applyBorder="1" applyAlignment="1">
      <alignment horizontal="right"/>
    </xf>
    <xf numFmtId="10" fontId="0" fillId="0" borderId="0" xfId="284" applyNumberFormat="1" applyFont="1" applyFill="1" applyAlignment="1">
      <alignment/>
    </xf>
    <xf numFmtId="0" fontId="0" fillId="0" borderId="0" xfId="0" applyFont="1" applyBorder="1" applyAlignment="1">
      <alignment/>
    </xf>
    <xf numFmtId="233" fontId="3" fillId="0" borderId="0" xfId="0" applyNumberFormat="1" applyFont="1" applyFill="1" applyBorder="1" applyAlignment="1">
      <alignment/>
    </xf>
    <xf numFmtId="233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37" fillId="28" borderId="34" xfId="0" applyFont="1" applyFill="1" applyBorder="1" applyAlignment="1">
      <alignment wrapText="1" shrinkToFit="1"/>
    </xf>
    <xf numFmtId="0" fontId="37" fillId="28" borderId="35" xfId="0" applyFont="1" applyFill="1" applyBorder="1" applyAlignment="1">
      <alignment/>
    </xf>
    <xf numFmtId="0" fontId="65" fillId="28" borderId="13" xfId="0" applyFont="1" applyFill="1" applyBorder="1" applyAlignment="1">
      <alignment horizontal="center" wrapText="1"/>
    </xf>
    <xf numFmtId="0" fontId="65" fillId="28" borderId="35" xfId="0" applyFont="1" applyFill="1" applyBorder="1" applyAlignment="1">
      <alignment horizontal="center" wrapText="1"/>
    </xf>
    <xf numFmtId="173" fontId="0" fillId="0" borderId="0" xfId="284" applyNumberFormat="1" applyFont="1" applyFill="1" applyBorder="1" applyAlignment="1">
      <alignment horizontal="center"/>
    </xf>
    <xf numFmtId="0" fontId="65" fillId="28" borderId="34" xfId="0" applyFont="1" applyFill="1" applyBorder="1" applyAlignment="1">
      <alignment horizontal="center" wrapText="1"/>
    </xf>
    <xf numFmtId="10" fontId="0" fillId="15" borderId="36" xfId="284" applyNumberFormat="1" applyFont="1" applyFill="1" applyBorder="1" applyAlignment="1">
      <alignment horizontal="center"/>
    </xf>
    <xf numFmtId="10" fontId="0" fillId="15" borderId="0" xfId="284" applyNumberFormat="1" applyFont="1" applyFill="1" applyBorder="1" applyAlignment="1">
      <alignment horizontal="center"/>
    </xf>
    <xf numFmtId="10" fontId="0" fillId="15" borderId="27" xfId="284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79" fillId="0" borderId="37" xfId="0" applyFont="1" applyFill="1" applyBorder="1" applyAlignment="1">
      <alignment horizontal="left"/>
    </xf>
    <xf numFmtId="9" fontId="0" fillId="0" borderId="38" xfId="284" applyNumberFormat="1" applyFont="1" applyFill="1" applyBorder="1" applyAlignment="1">
      <alignment horizontal="center"/>
    </xf>
    <xf numFmtId="10" fontId="0" fillId="0" borderId="36" xfId="284" applyNumberFormat="1" applyFont="1" applyFill="1" applyBorder="1" applyAlignment="1">
      <alignment horizontal="center"/>
    </xf>
    <xf numFmtId="2" fontId="0" fillId="0" borderId="36" xfId="284" applyNumberFormat="1" applyFont="1" applyFill="1" applyBorder="1" applyAlignment="1">
      <alignment horizontal="center"/>
    </xf>
    <xf numFmtId="1" fontId="0" fillId="0" borderId="36" xfId="284" applyNumberFormat="1" applyFont="1" applyFill="1" applyBorder="1" applyAlignment="1">
      <alignment horizontal="center"/>
    </xf>
    <xf numFmtId="9" fontId="0" fillId="0" borderId="36" xfId="284" applyNumberFormat="1" applyFont="1" applyFill="1" applyBorder="1" applyAlignment="1">
      <alignment horizontal="center"/>
    </xf>
    <xf numFmtId="9" fontId="0" fillId="0" borderId="39" xfId="284" applyFont="1" applyFill="1" applyBorder="1" applyAlignment="1">
      <alignment horizontal="center"/>
    </xf>
    <xf numFmtId="9" fontId="0" fillId="0" borderId="37" xfId="284" applyNumberFormat="1" applyFont="1" applyFill="1" applyBorder="1" applyAlignment="1">
      <alignment horizontal="center"/>
    </xf>
    <xf numFmtId="10" fontId="0" fillId="0" borderId="0" xfId="284" applyNumberFormat="1" applyFont="1" applyFill="1" applyBorder="1" applyAlignment="1">
      <alignment horizontal="center"/>
    </xf>
    <xf numFmtId="2" fontId="0" fillId="0" borderId="0" xfId="284" applyNumberFormat="1" applyFont="1" applyFill="1" applyBorder="1" applyAlignment="1">
      <alignment horizontal="center"/>
    </xf>
    <xf numFmtId="1" fontId="0" fillId="0" borderId="0" xfId="284" applyNumberFormat="1" applyFont="1" applyFill="1" applyBorder="1" applyAlignment="1">
      <alignment horizontal="center"/>
    </xf>
    <xf numFmtId="9" fontId="0" fillId="0" borderId="0" xfId="284" applyNumberFormat="1" applyFont="1" applyFill="1" applyBorder="1" applyAlignment="1">
      <alignment horizontal="center"/>
    </xf>
    <xf numFmtId="9" fontId="0" fillId="0" borderId="40" xfId="284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9" fontId="0" fillId="0" borderId="41" xfId="284" applyNumberFormat="1" applyFont="1" applyFill="1" applyBorder="1" applyAlignment="1">
      <alignment horizontal="center"/>
    </xf>
    <xf numFmtId="10" fontId="0" fillId="0" borderId="27" xfId="284" applyNumberFormat="1" applyFont="1" applyFill="1" applyBorder="1" applyAlignment="1">
      <alignment horizontal="center"/>
    </xf>
    <xf numFmtId="2" fontId="0" fillId="0" borderId="27" xfId="284" applyNumberFormat="1" applyFont="1" applyFill="1" applyBorder="1" applyAlignment="1">
      <alignment horizontal="center"/>
    </xf>
    <xf numFmtId="1" fontId="0" fillId="0" borderId="27" xfId="284" applyNumberFormat="1" applyFont="1" applyFill="1" applyBorder="1" applyAlignment="1">
      <alignment horizontal="center"/>
    </xf>
    <xf numFmtId="9" fontId="0" fillId="0" borderId="27" xfId="284" applyNumberFormat="1" applyFont="1" applyFill="1" applyBorder="1" applyAlignment="1">
      <alignment horizontal="center"/>
    </xf>
    <xf numFmtId="9" fontId="0" fillId="0" borderId="42" xfId="284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0" fillId="0" borderId="37" xfId="91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>
      <alignment horizontal="center"/>
    </xf>
    <xf numFmtId="173" fontId="0" fillId="0" borderId="0" xfId="284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3" fontId="0" fillId="0" borderId="40" xfId="284" applyNumberFormat="1" applyFont="1" applyFill="1" applyBorder="1" applyAlignment="1">
      <alignment horizontal="center"/>
    </xf>
    <xf numFmtId="0" fontId="0" fillId="0" borderId="38" xfId="91" applyNumberFormat="1" applyFont="1" applyFill="1" applyBorder="1" applyAlignment="1">
      <alignment horizontal="center"/>
    </xf>
    <xf numFmtId="185" fontId="0" fillId="0" borderId="36" xfId="0" applyNumberFormat="1" applyFont="1" applyFill="1" applyBorder="1" applyAlignment="1">
      <alignment horizontal="center"/>
    </xf>
    <xf numFmtId="173" fontId="0" fillId="0" borderId="36" xfId="284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189" fontId="0" fillId="0" borderId="36" xfId="0" applyNumberFormat="1" applyFont="1" applyFill="1" applyBorder="1" applyAlignment="1">
      <alignment horizontal="center"/>
    </xf>
    <xf numFmtId="173" fontId="0" fillId="0" borderId="36" xfId="284" applyNumberFormat="1" applyFont="1" applyFill="1" applyBorder="1" applyAlignment="1">
      <alignment horizontal="center"/>
    </xf>
    <xf numFmtId="186" fontId="0" fillId="0" borderId="36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173" fontId="0" fillId="0" borderId="39" xfId="284" applyNumberFormat="1" applyFont="1" applyFill="1" applyBorder="1" applyAlignment="1">
      <alignment horizontal="center"/>
    </xf>
    <xf numFmtId="0" fontId="0" fillId="0" borderId="41" xfId="91" applyNumberFormat="1" applyFont="1" applyFill="1" applyBorder="1" applyAlignment="1">
      <alignment horizontal="center"/>
    </xf>
    <xf numFmtId="185" fontId="0" fillId="0" borderId="27" xfId="0" applyNumberFormat="1" applyFont="1" applyFill="1" applyBorder="1" applyAlignment="1">
      <alignment horizontal="center"/>
    </xf>
    <xf numFmtId="173" fontId="0" fillId="0" borderId="27" xfId="284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189" fontId="0" fillId="0" borderId="27" xfId="0" applyNumberFormat="1" applyFont="1" applyFill="1" applyBorder="1" applyAlignment="1">
      <alignment horizontal="center"/>
    </xf>
    <xf numFmtId="173" fontId="0" fillId="0" borderId="27" xfId="284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173" fontId="0" fillId="0" borderId="42" xfId="284" applyNumberFormat="1" applyFont="1" applyFill="1" applyBorder="1" applyAlignment="1">
      <alignment horizontal="center"/>
    </xf>
    <xf numFmtId="173" fontId="0" fillId="0" borderId="0" xfId="284" applyNumberFormat="1" applyFont="1" applyAlignment="1">
      <alignment/>
    </xf>
    <xf numFmtId="10" fontId="0" fillId="0" borderId="0" xfId="284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5" fillId="29" borderId="11" xfId="0" applyFont="1" applyFill="1" applyBorder="1" applyAlignment="1">
      <alignment/>
    </xf>
    <xf numFmtId="235" fontId="0" fillId="0" borderId="0" xfId="0" applyNumberFormat="1" applyFont="1" applyBorder="1" applyAlignment="1">
      <alignment horizontal="left"/>
    </xf>
    <xf numFmtId="0" fontId="65" fillId="29" borderId="11" xfId="0" applyFont="1" applyFill="1" applyBorder="1" applyAlignment="1">
      <alignment/>
    </xf>
    <xf numFmtId="0" fontId="0" fillId="15" borderId="11" xfId="0" applyFont="1" applyFill="1" applyBorder="1" applyAlignment="1">
      <alignment/>
    </xf>
    <xf numFmtId="0" fontId="37" fillId="28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79" fillId="0" borderId="43" xfId="0" applyFont="1" applyFill="1" applyBorder="1" applyAlignment="1">
      <alignment horizontal="left"/>
    </xf>
    <xf numFmtId="0" fontId="79" fillId="0" borderId="44" xfId="0" applyFont="1" applyFill="1" applyBorder="1" applyAlignment="1">
      <alignment horizontal="left"/>
    </xf>
    <xf numFmtId="0" fontId="79" fillId="0" borderId="45" xfId="0" applyFont="1" applyFill="1" applyBorder="1" applyAlignment="1">
      <alignment horizontal="left"/>
    </xf>
    <xf numFmtId="10" fontId="0" fillId="0" borderId="36" xfId="284" applyNumberFormat="1" applyFont="1" applyFill="1" applyBorder="1" applyAlignment="1">
      <alignment horizontal="center"/>
    </xf>
    <xf numFmtId="10" fontId="0" fillId="0" borderId="27" xfId="284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5" fillId="28" borderId="0" xfId="0" applyFont="1" applyFill="1" applyAlignment="1">
      <alignment/>
    </xf>
    <xf numFmtId="10" fontId="0" fillId="0" borderId="0" xfId="284" applyNumberFormat="1" applyFont="1" applyAlignment="1">
      <alignment/>
    </xf>
    <xf numFmtId="167" fontId="0" fillId="0" borderId="0" xfId="0" applyNumberFormat="1" applyFont="1" applyAlignment="1">
      <alignment/>
    </xf>
    <xf numFmtId="0" fontId="63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30" borderId="0" xfId="0" applyFont="1" applyFill="1" applyAlignment="1">
      <alignment/>
    </xf>
    <xf numFmtId="0" fontId="65" fillId="30" borderId="0" xfId="0" applyFont="1" applyFill="1" applyAlignment="1">
      <alignment/>
    </xf>
    <xf numFmtId="185" fontId="0" fillId="0" borderId="0" xfId="0" applyNumberFormat="1" applyFont="1" applyAlignment="1">
      <alignment/>
    </xf>
    <xf numFmtId="10" fontId="0" fillId="30" borderId="0" xfId="284" applyNumberFormat="1" applyFont="1" applyFill="1" applyAlignment="1">
      <alignment/>
    </xf>
    <xf numFmtId="188" fontId="0" fillId="0" borderId="0" xfId="284" applyNumberFormat="1" applyFont="1" applyAlignment="1">
      <alignment/>
    </xf>
    <xf numFmtId="0" fontId="0" fillId="21" borderId="34" xfId="0" applyFont="1" applyFill="1" applyBorder="1" applyAlignment="1">
      <alignment/>
    </xf>
    <xf numFmtId="0" fontId="0" fillId="21" borderId="13" xfId="0" applyFont="1" applyFill="1" applyBorder="1" applyAlignment="1">
      <alignment/>
    </xf>
    <xf numFmtId="228" fontId="3" fillId="21" borderId="35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0" fontId="0" fillId="0" borderId="0" xfId="284" applyNumberFormat="1" applyFont="1" applyBorder="1" applyAlignment="1">
      <alignment/>
    </xf>
    <xf numFmtId="10" fontId="0" fillId="30" borderId="0" xfId="284" applyNumberFormat="1" applyFont="1" applyFill="1" applyBorder="1" applyAlignment="1">
      <alignment/>
    </xf>
    <xf numFmtId="0" fontId="0" fillId="0" borderId="46" xfId="0" applyFont="1" applyBorder="1" applyAlignment="1">
      <alignment/>
    </xf>
    <xf numFmtId="188" fontId="0" fillId="0" borderId="47" xfId="0" applyNumberFormat="1" applyFont="1" applyFill="1" applyBorder="1" applyAlignment="1">
      <alignment/>
    </xf>
    <xf numFmtId="9" fontId="0" fillId="0" borderId="0" xfId="284" applyFont="1" applyBorder="1" applyAlignment="1">
      <alignment/>
    </xf>
    <xf numFmtId="9" fontId="0" fillId="30" borderId="0" xfId="284" applyFont="1" applyFill="1" applyBorder="1" applyAlignment="1">
      <alignment/>
    </xf>
    <xf numFmtId="203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right"/>
    </xf>
    <xf numFmtId="1" fontId="0" fillId="30" borderId="0" xfId="0" applyNumberFormat="1" applyFont="1" applyFill="1" applyBorder="1" applyAlignment="1">
      <alignment horizontal="right"/>
    </xf>
    <xf numFmtId="228" fontId="0" fillId="0" borderId="0" xfId="0" applyNumberFormat="1" applyFont="1" applyAlignment="1">
      <alignment/>
    </xf>
    <xf numFmtId="0" fontId="37" fillId="28" borderId="48" xfId="0" applyFont="1" applyFill="1" applyBorder="1" applyAlignment="1">
      <alignment/>
    </xf>
    <xf numFmtId="182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73" fontId="0" fillId="0" borderId="0" xfId="0" applyNumberFormat="1" applyFont="1" applyBorder="1" applyAlignment="1">
      <alignment/>
    </xf>
    <xf numFmtId="172" fontId="0" fillId="0" borderId="0" xfId="91" applyNumberFormat="1" applyFont="1" applyBorder="1" applyAlignment="1">
      <alignment/>
    </xf>
    <xf numFmtId="9" fontId="0" fillId="0" borderId="0" xfId="284" applyFont="1" applyAlignment="1">
      <alignment/>
    </xf>
    <xf numFmtId="9" fontId="0" fillId="30" borderId="0" xfId="284" applyFont="1" applyFill="1" applyAlignment="1">
      <alignment/>
    </xf>
    <xf numFmtId="229" fontId="0" fillId="0" borderId="0" xfId="0" applyNumberFormat="1" applyFont="1" applyAlignment="1">
      <alignment/>
    </xf>
    <xf numFmtId="173" fontId="0" fillId="30" borderId="0" xfId="284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30" borderId="0" xfId="0" applyNumberFormat="1" applyFont="1" applyFill="1" applyAlignment="1">
      <alignment/>
    </xf>
    <xf numFmtId="10" fontId="0" fillId="0" borderId="0" xfId="0" applyNumberFormat="1" applyFont="1" applyFill="1" applyBorder="1" applyAlignment="1">
      <alignment horizontal="right"/>
    </xf>
    <xf numFmtId="10" fontId="0" fillId="3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40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4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6" fontId="0" fillId="0" borderId="0" xfId="0" applyNumberFormat="1" applyFont="1" applyAlignment="1">
      <alignment/>
    </xf>
    <xf numFmtId="188" fontId="0" fillId="0" borderId="0" xfId="0" applyNumberFormat="1" applyFont="1" applyBorder="1" applyAlignment="1">
      <alignment/>
    </xf>
    <xf numFmtId="171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230" fontId="0" fillId="0" borderId="0" xfId="0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0" fontId="37" fillId="28" borderId="7" xfId="0" applyFont="1" applyFill="1" applyBorder="1" applyAlignment="1">
      <alignment/>
    </xf>
    <xf numFmtId="0" fontId="37" fillId="28" borderId="0" xfId="0" applyFont="1" applyFill="1" applyBorder="1" applyAlignment="1">
      <alignment horizontal="right"/>
    </xf>
    <xf numFmtId="0" fontId="37" fillId="28" borderId="0" xfId="0" applyFont="1" applyFill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167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23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23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209" fontId="0" fillId="0" borderId="0" xfId="0" applyNumberFormat="1" applyFont="1" applyFill="1" applyBorder="1" applyAlignment="1">
      <alignment/>
    </xf>
    <xf numFmtId="40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0" fontId="0" fillId="0" borderId="0" xfId="284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165" fontId="3" fillId="0" borderId="32" xfId="0" applyNumberFormat="1" applyFont="1" applyBorder="1" applyAlignment="1">
      <alignment/>
    </xf>
    <xf numFmtId="0" fontId="3" fillId="0" borderId="32" xfId="0" applyFont="1" applyBorder="1" applyAlignment="1">
      <alignment horizontal="right"/>
    </xf>
    <xf numFmtId="0" fontId="3" fillId="0" borderId="49" xfId="0" applyFont="1" applyBorder="1" applyAlignment="1">
      <alignment/>
    </xf>
    <xf numFmtId="165" fontId="3" fillId="0" borderId="49" xfId="0" applyNumberFormat="1" applyFont="1" applyBorder="1" applyAlignment="1">
      <alignment/>
    </xf>
    <xf numFmtId="233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0" fontId="37" fillId="28" borderId="14" xfId="0" applyFont="1" applyFill="1" applyBorder="1" applyAlignment="1">
      <alignment/>
    </xf>
    <xf numFmtId="1" fontId="65" fillId="28" borderId="14" xfId="284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33" fontId="0" fillId="0" borderId="0" xfId="0" applyNumberFormat="1" applyFont="1" applyFill="1" applyBorder="1" applyAlignment="1">
      <alignment horizontal="right"/>
    </xf>
    <xf numFmtId="233" fontId="0" fillId="0" borderId="0" xfId="0" applyNumberFormat="1" applyFont="1" applyFill="1" applyAlignment="1">
      <alignment/>
    </xf>
    <xf numFmtId="40" fontId="3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72" fontId="0" fillId="0" borderId="0" xfId="91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172" fontId="0" fillId="0" borderId="0" xfId="91" applyNumberFormat="1" applyFont="1" applyFill="1" applyAlignment="1">
      <alignment/>
    </xf>
    <xf numFmtId="234" fontId="0" fillId="0" borderId="0" xfId="91" applyNumberFormat="1" applyFont="1" applyFill="1" applyAlignment="1">
      <alignment/>
    </xf>
    <xf numFmtId="167" fontId="0" fillId="0" borderId="0" xfId="0" applyNumberFormat="1" applyFont="1" applyFill="1" applyBorder="1" applyAlignment="1">
      <alignment/>
    </xf>
    <xf numFmtId="175" fontId="0" fillId="0" borderId="0" xfId="109" applyNumberFormat="1" applyFont="1" applyFill="1" applyBorder="1" applyAlignment="1">
      <alignment/>
    </xf>
    <xf numFmtId="1" fontId="37" fillId="28" borderId="14" xfId="0" applyNumberFormat="1" applyFont="1" applyFill="1" applyBorder="1" applyAlignment="1">
      <alignment horizontal="left"/>
    </xf>
    <xf numFmtId="1" fontId="65" fillId="28" borderId="14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38" fontId="0" fillId="0" borderId="0" xfId="91" applyNumberFormat="1" applyFont="1" applyFill="1" applyBorder="1" applyAlignment="1">
      <alignment horizontal="center"/>
    </xf>
    <xf numFmtId="165" fontId="0" fillId="0" borderId="0" xfId="91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38" fontId="65" fillId="28" borderId="14" xfId="0" applyNumberFormat="1" applyFont="1" applyFill="1" applyBorder="1" applyAlignment="1">
      <alignment horizontal="center"/>
    </xf>
    <xf numFmtId="2" fontId="0" fillId="0" borderId="0" xfId="284" applyNumberFormat="1" applyFont="1" applyFill="1" applyAlignment="1">
      <alignment/>
    </xf>
    <xf numFmtId="40" fontId="0" fillId="0" borderId="0" xfId="91" applyNumberFormat="1" applyFont="1" applyFill="1" applyAlignment="1">
      <alignment/>
    </xf>
    <xf numFmtId="233" fontId="0" fillId="0" borderId="0" xfId="0" applyNumberFormat="1" applyFont="1" applyAlignment="1">
      <alignment/>
    </xf>
    <xf numFmtId="0" fontId="37" fillId="28" borderId="46" xfId="0" applyFont="1" applyFill="1" applyBorder="1" applyAlignment="1">
      <alignment horizontal="left"/>
    </xf>
    <xf numFmtId="188" fontId="37" fillId="28" borderId="47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188" fontId="0" fillId="0" borderId="5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39" fontId="0" fillId="0" borderId="26" xfId="91" applyNumberFormat="1" applyFont="1" applyFill="1" applyBorder="1" applyAlignment="1">
      <alignment horizontal="center"/>
    </xf>
    <xf numFmtId="188" fontId="0" fillId="0" borderId="26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left"/>
    </xf>
    <xf numFmtId="188" fontId="0" fillId="0" borderId="52" xfId="0" applyNumberFormat="1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 horizontal="center"/>
    </xf>
    <xf numFmtId="0" fontId="37" fillId="28" borderId="0" xfId="0" applyFont="1" applyFill="1" applyBorder="1" applyAlignment="1">
      <alignment horizontal="left"/>
    </xf>
    <xf numFmtId="0" fontId="65" fillId="28" borderId="0" xfId="0" applyFont="1" applyFill="1" applyAlignment="1">
      <alignment horizontal="right"/>
    </xf>
    <xf numFmtId="17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82" fillId="0" borderId="0" xfId="0" applyFont="1" applyAlignment="1">
      <alignment/>
    </xf>
    <xf numFmtId="0" fontId="50" fillId="0" borderId="0" xfId="0" applyFont="1" applyAlignment="1">
      <alignment/>
    </xf>
    <xf numFmtId="0" fontId="0" fillId="31" borderId="11" xfId="0" applyFont="1" applyFill="1" applyBorder="1" applyAlignment="1">
      <alignment horizontal="center" wrapText="1"/>
    </xf>
    <xf numFmtId="9" fontId="0" fillId="0" borderId="36" xfId="284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228" fontId="0" fillId="0" borderId="38" xfId="284" applyNumberFormat="1" applyFont="1" applyFill="1" applyBorder="1" applyAlignment="1">
      <alignment horizontal="center"/>
    </xf>
    <xf numFmtId="236" fontId="0" fillId="0" borderId="36" xfId="284" applyNumberFormat="1" applyFont="1" applyFill="1" applyBorder="1" applyAlignment="1">
      <alignment horizontal="center"/>
    </xf>
    <xf numFmtId="236" fontId="0" fillId="0" borderId="0" xfId="284" applyNumberFormat="1" applyFont="1" applyFill="1" applyBorder="1" applyAlignment="1">
      <alignment horizontal="center"/>
    </xf>
    <xf numFmtId="236" fontId="0" fillId="0" borderId="27" xfId="284" applyNumberFormat="1" applyFont="1" applyFill="1" applyBorder="1" applyAlignment="1">
      <alignment horizontal="center"/>
    </xf>
    <xf numFmtId="228" fontId="0" fillId="0" borderId="37" xfId="284" applyNumberFormat="1" applyFont="1" applyFill="1" applyBorder="1" applyAlignment="1">
      <alignment horizontal="center"/>
    </xf>
    <xf numFmtId="228" fontId="0" fillId="0" borderId="41" xfId="284" applyNumberFormat="1" applyFont="1" applyFill="1" applyBorder="1" applyAlignment="1">
      <alignment horizontal="center"/>
    </xf>
    <xf numFmtId="228" fontId="0" fillId="0" borderId="36" xfId="284" applyNumberFormat="1" applyFont="1" applyFill="1" applyBorder="1" applyAlignment="1">
      <alignment horizontal="center"/>
    </xf>
    <xf numFmtId="0" fontId="65" fillId="28" borderId="36" xfId="0" applyFont="1" applyFill="1" applyBorder="1" applyAlignment="1">
      <alignment horizontal="center" wrapText="1"/>
    </xf>
    <xf numFmtId="0" fontId="65" fillId="28" borderId="36" xfId="0" applyFont="1" applyFill="1" applyBorder="1" applyAlignment="1">
      <alignment horizontal="center" wrapText="1"/>
    </xf>
    <xf numFmtId="0" fontId="65" fillId="28" borderId="39" xfId="0" applyFont="1" applyFill="1" applyBorder="1" applyAlignment="1">
      <alignment horizontal="center" wrapText="1"/>
    </xf>
    <xf numFmtId="228" fontId="0" fillId="0" borderId="0" xfId="284" applyNumberFormat="1" applyFont="1" applyFill="1" applyBorder="1" applyAlignment="1">
      <alignment horizontal="center"/>
    </xf>
    <xf numFmtId="0" fontId="65" fillId="28" borderId="38" xfId="0" applyFont="1" applyFill="1" applyBorder="1" applyAlignment="1">
      <alignment horizontal="center" wrapText="1"/>
    </xf>
    <xf numFmtId="228" fontId="0" fillId="0" borderId="27" xfId="284" applyNumberFormat="1" applyFont="1" applyFill="1" applyBorder="1" applyAlignment="1">
      <alignment horizontal="center"/>
    </xf>
    <xf numFmtId="228" fontId="0" fillId="0" borderId="39" xfId="284" applyNumberFormat="1" applyFont="1" applyFill="1" applyBorder="1" applyAlignment="1">
      <alignment horizontal="center"/>
    </xf>
    <xf numFmtId="228" fontId="0" fillId="0" borderId="40" xfId="284" applyNumberFormat="1" applyFont="1" applyFill="1" applyBorder="1" applyAlignment="1">
      <alignment horizontal="center"/>
    </xf>
    <xf numFmtId="228" fontId="0" fillId="0" borderId="42" xfId="284" applyNumberFormat="1" applyFont="1" applyFill="1" applyBorder="1" applyAlignment="1">
      <alignment horizontal="center"/>
    </xf>
    <xf numFmtId="0" fontId="79" fillId="0" borderId="38" xfId="0" applyFont="1" applyFill="1" applyBorder="1" applyAlignment="1">
      <alignment horizontal="left"/>
    </xf>
    <xf numFmtId="0" fontId="79" fillId="0" borderId="41" xfId="0" applyFont="1" applyFill="1" applyBorder="1" applyAlignment="1">
      <alignment horizontal="left"/>
    </xf>
    <xf numFmtId="10" fontId="0" fillId="30" borderId="0" xfId="284" applyNumberFormat="1" applyFont="1" applyFill="1" applyBorder="1" applyAlignment="1">
      <alignment horizontal="center"/>
    </xf>
    <xf numFmtId="10" fontId="0" fillId="30" borderId="27" xfId="284" applyNumberFormat="1" applyFont="1" applyFill="1" applyBorder="1" applyAlignment="1">
      <alignment horizontal="center"/>
    </xf>
    <xf numFmtId="10" fontId="0" fillId="30" borderId="36" xfId="284" applyNumberFormat="1" applyFont="1" applyFill="1" applyBorder="1" applyAlignment="1">
      <alignment horizontal="center"/>
    </xf>
    <xf numFmtId="0" fontId="65" fillId="28" borderId="38" xfId="0" applyFont="1" applyFill="1" applyBorder="1" applyAlignment="1">
      <alignment horizontal="center" wrapText="1"/>
    </xf>
    <xf numFmtId="0" fontId="0" fillId="30" borderId="0" xfId="0" applyFill="1" applyAlignment="1">
      <alignment/>
    </xf>
    <xf numFmtId="0" fontId="0" fillId="30" borderId="0" xfId="0" applyFill="1" applyBorder="1" applyAlignment="1">
      <alignment/>
    </xf>
    <xf numFmtId="0" fontId="0" fillId="0" borderId="0" xfId="0" applyBorder="1" applyAlignment="1">
      <alignment/>
    </xf>
    <xf numFmtId="0" fontId="0" fillId="30" borderId="38" xfId="0" applyFont="1" applyFill="1" applyBorder="1" applyAlignment="1">
      <alignment horizontal="left" vertical="center" indent="1"/>
    </xf>
    <xf numFmtId="0" fontId="0" fillId="30" borderId="37" xfId="0" applyFont="1" applyFill="1" applyBorder="1" applyAlignment="1">
      <alignment horizontal="left" vertical="center" indent="1"/>
    </xf>
    <xf numFmtId="0" fontId="0" fillId="30" borderId="0" xfId="0" applyFill="1" applyBorder="1" applyAlignment="1">
      <alignment/>
    </xf>
    <xf numFmtId="0" fontId="0" fillId="30" borderId="41" xfId="0" applyFont="1" applyFill="1" applyBorder="1" applyAlignment="1">
      <alignment horizontal="left" indent="1"/>
    </xf>
    <xf numFmtId="0" fontId="0" fillId="30" borderId="37" xfId="0" applyFont="1" applyFill="1" applyBorder="1" applyAlignment="1">
      <alignment horizontal="left" indent="1"/>
    </xf>
    <xf numFmtId="0" fontId="0" fillId="30" borderId="0" xfId="0" applyFont="1" applyFill="1" applyBorder="1" applyAlignment="1">
      <alignment horizontal="left" vertical="center" indent="1"/>
    </xf>
    <xf numFmtId="0" fontId="0" fillId="30" borderId="38" xfId="0" applyFont="1" applyFill="1" applyBorder="1" applyAlignment="1">
      <alignment horizontal="left" indent="1"/>
    </xf>
    <xf numFmtId="0" fontId="0" fillId="30" borderId="0" xfId="0" applyFill="1" applyAlignment="1">
      <alignment/>
    </xf>
    <xf numFmtId="0" fontId="64" fillId="30" borderId="0" xfId="0" applyFont="1" applyFill="1" applyAlignment="1">
      <alignment/>
    </xf>
    <xf numFmtId="0" fontId="25" fillId="30" borderId="0" xfId="0" applyFont="1" applyFill="1" applyAlignment="1">
      <alignment/>
    </xf>
    <xf numFmtId="173" fontId="0" fillId="30" borderId="0" xfId="284" applyNumberFormat="1" applyFont="1" applyFill="1" applyBorder="1" applyAlignment="1">
      <alignment horizontal="center"/>
    </xf>
    <xf numFmtId="186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 horizontal="left" wrapText="1" indent="1"/>
    </xf>
    <xf numFmtId="3" fontId="0" fillId="30" borderId="0" xfId="0" applyNumberFormat="1" applyFont="1" applyFill="1" applyBorder="1" applyAlignment="1">
      <alignment horizontal="center"/>
    </xf>
    <xf numFmtId="190" fontId="0" fillId="30" borderId="0" xfId="0" applyNumberFormat="1" applyFill="1" applyAlignment="1">
      <alignment/>
    </xf>
    <xf numFmtId="0" fontId="0" fillId="30" borderId="37" xfId="0" applyFont="1" applyFill="1" applyBorder="1" applyAlignment="1">
      <alignment horizontal="left" wrapText="1" indent="1"/>
    </xf>
    <xf numFmtId="0" fontId="0" fillId="30" borderId="41" xfId="0" applyFont="1" applyFill="1" applyBorder="1" applyAlignment="1">
      <alignment horizontal="left" wrapText="1" indent="1"/>
    </xf>
    <xf numFmtId="0" fontId="0" fillId="30" borderId="0" xfId="91" applyNumberFormat="1" applyFont="1" applyFill="1" applyBorder="1" applyAlignment="1">
      <alignment horizontal="center"/>
    </xf>
    <xf numFmtId="189" fontId="0" fillId="30" borderId="0" xfId="0" applyNumberFormat="1" applyFont="1" applyFill="1" applyBorder="1" applyAlignment="1">
      <alignment horizontal="center"/>
    </xf>
    <xf numFmtId="0" fontId="0" fillId="30" borderId="41" xfId="0" applyFont="1" applyFill="1" applyBorder="1" applyAlignment="1">
      <alignment horizontal="left" vertical="center" indent="1"/>
    </xf>
    <xf numFmtId="0" fontId="0" fillId="30" borderId="27" xfId="0" applyFont="1" applyFill="1" applyBorder="1" applyAlignment="1">
      <alignment horizontal="left" vertical="center" indent="1"/>
    </xf>
    <xf numFmtId="0" fontId="0" fillId="30" borderId="27" xfId="0" applyFont="1" applyFill="1" applyBorder="1" applyAlignment="1">
      <alignment horizontal="left" indent="1"/>
    </xf>
    <xf numFmtId="186" fontId="0" fillId="31" borderId="39" xfId="0" applyNumberFormat="1" applyFont="1" applyFill="1" applyBorder="1" applyAlignment="1">
      <alignment horizontal="center"/>
    </xf>
    <xf numFmtId="0" fontId="3" fillId="32" borderId="34" xfId="0" applyFont="1" applyFill="1" applyBorder="1" applyAlignment="1">
      <alignment horizontal="center" vertical="center"/>
    </xf>
    <xf numFmtId="188" fontId="3" fillId="32" borderId="13" xfId="284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/>
    </xf>
    <xf numFmtId="177" fontId="3" fillId="32" borderId="35" xfId="0" applyNumberFormat="1" applyFont="1" applyFill="1" applyBorder="1" applyAlignment="1">
      <alignment horizontal="center"/>
    </xf>
    <xf numFmtId="10" fontId="0" fillId="0" borderId="0" xfId="284" applyNumberFormat="1" applyFont="1" applyAlignment="1">
      <alignment/>
    </xf>
    <xf numFmtId="167" fontId="3" fillId="0" borderId="49" xfId="0" applyNumberFormat="1" applyFont="1" applyBorder="1" applyAlignment="1">
      <alignment/>
    </xf>
    <xf numFmtId="165" fontId="0" fillId="0" borderId="0" xfId="0" applyNumberFormat="1" applyFont="1" applyAlignment="1">
      <alignment horizontal="left"/>
    </xf>
    <xf numFmtId="9" fontId="0" fillId="0" borderId="38" xfId="284" applyNumberFormat="1" applyFont="1" applyFill="1" applyBorder="1" applyAlignment="1">
      <alignment horizontal="center"/>
    </xf>
    <xf numFmtId="2" fontId="0" fillId="0" borderId="36" xfId="284" applyNumberFormat="1" applyFont="1" applyFill="1" applyBorder="1" applyAlignment="1">
      <alignment horizontal="center"/>
    </xf>
    <xf numFmtId="1" fontId="0" fillId="0" borderId="36" xfId="284" applyNumberFormat="1" applyFont="1" applyFill="1" applyBorder="1" applyAlignment="1">
      <alignment horizontal="center"/>
    </xf>
    <xf numFmtId="9" fontId="0" fillId="0" borderId="39" xfId="284" applyFont="1" applyFill="1" applyBorder="1" applyAlignment="1">
      <alignment horizontal="center"/>
    </xf>
    <xf numFmtId="9" fontId="0" fillId="0" borderId="37" xfId="284" applyNumberFormat="1" applyFont="1" applyFill="1" applyBorder="1" applyAlignment="1">
      <alignment horizontal="center"/>
    </xf>
    <xf numFmtId="2" fontId="0" fillId="0" borderId="0" xfId="284" applyNumberFormat="1" applyFont="1" applyFill="1" applyBorder="1" applyAlignment="1">
      <alignment horizontal="center"/>
    </xf>
    <xf numFmtId="1" fontId="0" fillId="0" borderId="0" xfId="284" applyNumberFormat="1" applyFont="1" applyFill="1" applyBorder="1" applyAlignment="1">
      <alignment horizontal="center"/>
    </xf>
    <xf numFmtId="9" fontId="0" fillId="0" borderId="0" xfId="284" applyNumberFormat="1" applyFont="1" applyFill="1" applyBorder="1" applyAlignment="1">
      <alignment horizontal="center"/>
    </xf>
    <xf numFmtId="9" fontId="0" fillId="0" borderId="40" xfId="284" applyFont="1" applyFill="1" applyBorder="1" applyAlignment="1">
      <alignment horizontal="center"/>
    </xf>
    <xf numFmtId="9" fontId="0" fillId="0" borderId="41" xfId="284" applyNumberFormat="1" applyFont="1" applyFill="1" applyBorder="1" applyAlignment="1">
      <alignment horizontal="center"/>
    </xf>
    <xf numFmtId="2" fontId="0" fillId="0" borderId="27" xfId="284" applyNumberFormat="1" applyFont="1" applyFill="1" applyBorder="1" applyAlignment="1">
      <alignment horizontal="center"/>
    </xf>
    <xf numFmtId="1" fontId="0" fillId="0" borderId="27" xfId="284" applyNumberFormat="1" applyFont="1" applyFill="1" applyBorder="1" applyAlignment="1">
      <alignment horizontal="center"/>
    </xf>
    <xf numFmtId="9" fontId="0" fillId="0" borderId="27" xfId="284" applyNumberFormat="1" applyFont="1" applyFill="1" applyBorder="1" applyAlignment="1">
      <alignment horizontal="center"/>
    </xf>
    <xf numFmtId="9" fontId="0" fillId="0" borderId="42" xfId="284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72" fontId="0" fillId="0" borderId="0" xfId="91" applyNumberFormat="1" applyFont="1" applyAlignment="1">
      <alignment/>
    </xf>
    <xf numFmtId="172" fontId="0" fillId="0" borderId="0" xfId="91" applyNumberFormat="1" applyFont="1" applyFill="1" applyAlignment="1">
      <alignment/>
    </xf>
    <xf numFmtId="234" fontId="0" fillId="0" borderId="0" xfId="91" applyNumberFormat="1" applyFont="1" applyFill="1" applyAlignment="1">
      <alignment/>
    </xf>
    <xf numFmtId="182" fontId="0" fillId="0" borderId="0" xfId="284" applyNumberFormat="1" applyFont="1" applyAlignment="1">
      <alignment/>
    </xf>
    <xf numFmtId="185" fontId="102" fillId="0" borderId="0" xfId="0" applyNumberFormat="1" applyFont="1" applyAlignment="1">
      <alignment/>
    </xf>
    <xf numFmtId="185" fontId="102" fillId="30" borderId="0" xfId="0" applyNumberFormat="1" applyFont="1" applyFill="1" applyAlignment="1">
      <alignment horizontal="right"/>
    </xf>
    <xf numFmtId="185" fontId="102" fillId="30" borderId="0" xfId="0" applyNumberFormat="1" applyFont="1" applyFill="1" applyAlignment="1">
      <alignment/>
    </xf>
    <xf numFmtId="0" fontId="103" fillId="33" borderId="53" xfId="0" applyFont="1" applyFill="1" applyBorder="1" applyAlignment="1">
      <alignment horizontal="center" vertical="center" wrapText="1"/>
    </xf>
    <xf numFmtId="0" fontId="103" fillId="33" borderId="0" xfId="0" applyFont="1" applyFill="1" applyBorder="1" applyAlignment="1">
      <alignment horizontal="center" vertical="center" wrapText="1"/>
    </xf>
    <xf numFmtId="0" fontId="103" fillId="33" borderId="54" xfId="0" applyFont="1" applyFill="1" applyBorder="1" applyAlignment="1">
      <alignment horizontal="center" vertical="center" wrapText="1"/>
    </xf>
    <xf numFmtId="0" fontId="103" fillId="34" borderId="0" xfId="0" applyFont="1" applyFill="1" applyAlignment="1">
      <alignment horizontal="center" vertical="center" wrapText="1"/>
    </xf>
    <xf numFmtId="0" fontId="104" fillId="35" borderId="0" xfId="0" applyFont="1" applyFill="1" applyAlignment="1">
      <alignment horizontal="center" vertical="center" wrapText="1"/>
    </xf>
    <xf numFmtId="3" fontId="104" fillId="35" borderId="0" xfId="0" applyNumberFormat="1" applyFont="1" applyFill="1" applyAlignment="1">
      <alignment horizontal="center" vertical="center" wrapText="1"/>
    </xf>
    <xf numFmtId="0" fontId="103" fillId="33" borderId="0" xfId="0" applyFont="1" applyFill="1" applyAlignment="1">
      <alignment horizontal="center" vertical="center" wrapText="1"/>
    </xf>
    <xf numFmtId="0" fontId="104" fillId="34" borderId="0" xfId="0" applyFont="1" applyFill="1" applyAlignment="1">
      <alignment horizontal="center" vertical="center" wrapText="1"/>
    </xf>
    <xf numFmtId="3" fontId="104" fillId="34" borderId="0" xfId="0" applyNumberFormat="1" applyFont="1" applyFill="1" applyAlignment="1">
      <alignment horizontal="center" vertical="center" wrapText="1"/>
    </xf>
    <xf numFmtId="0" fontId="105" fillId="33" borderId="55" xfId="0" applyFont="1" applyFill="1" applyBorder="1" applyAlignment="1">
      <alignment horizontal="left" vertical="center" wrapText="1"/>
    </xf>
    <xf numFmtId="0" fontId="105" fillId="33" borderId="55" xfId="0" applyFont="1" applyFill="1" applyBorder="1" applyAlignment="1">
      <alignment horizontal="center" vertical="center" wrapText="1"/>
    </xf>
    <xf numFmtId="3" fontId="105" fillId="33" borderId="55" xfId="0" applyNumberFormat="1" applyFont="1" applyFill="1" applyBorder="1" applyAlignment="1">
      <alignment horizontal="center" vertical="center" wrapText="1"/>
    </xf>
    <xf numFmtId="165" fontId="105" fillId="33" borderId="55" xfId="0" applyNumberFormat="1" applyFont="1" applyFill="1" applyBorder="1" applyAlignment="1">
      <alignment horizontal="center" vertical="center" wrapText="1"/>
    </xf>
    <xf numFmtId="0" fontId="37" fillId="28" borderId="35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5" fillId="28" borderId="13" xfId="0" applyFont="1" applyFill="1" applyBorder="1" applyAlignment="1">
      <alignment horizontal="center" wrapText="1"/>
    </xf>
    <xf numFmtId="0" fontId="0" fillId="30" borderId="37" xfId="0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185" fontId="0" fillId="0" borderId="0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188" fontId="3" fillId="0" borderId="0" xfId="0" applyNumberFormat="1" applyFont="1" applyBorder="1" applyAlignment="1">
      <alignment horizontal="center" vertical="center" wrapText="1"/>
    </xf>
    <xf numFmtId="237" fontId="0" fillId="0" borderId="0" xfId="0" applyNumberFormat="1" applyBorder="1" applyAlignment="1">
      <alignment horizontal="center"/>
    </xf>
    <xf numFmtId="237" fontId="0" fillId="30" borderId="0" xfId="0" applyNumberFormat="1" applyFill="1" applyBorder="1" applyAlignment="1">
      <alignment horizontal="center"/>
    </xf>
    <xf numFmtId="237" fontId="3" fillId="0" borderId="0" xfId="0" applyNumberFormat="1" applyFont="1" applyBorder="1" applyAlignment="1">
      <alignment horizontal="center"/>
    </xf>
    <xf numFmtId="0" fontId="3" fillId="32" borderId="0" xfId="0" applyFont="1" applyFill="1" applyBorder="1" applyAlignment="1">
      <alignment horizontal="center" vertical="center"/>
    </xf>
    <xf numFmtId="188" fontId="3" fillId="30" borderId="0" xfId="0" applyNumberFormat="1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188" fontId="3" fillId="0" borderId="26" xfId="0" applyNumberFormat="1" applyFont="1" applyBorder="1" applyAlignment="1">
      <alignment horizontal="center" vertical="center" wrapText="1"/>
    </xf>
    <xf numFmtId="188" fontId="3" fillId="30" borderId="26" xfId="0" applyNumberFormat="1" applyFont="1" applyFill="1" applyBorder="1" applyAlignment="1">
      <alignment horizontal="center" vertical="center" wrapText="1"/>
    </xf>
    <xf numFmtId="237" fontId="0" fillId="0" borderId="26" xfId="0" applyNumberFormat="1" applyBorder="1" applyAlignment="1">
      <alignment horizontal="center"/>
    </xf>
    <xf numFmtId="237" fontId="3" fillId="0" borderId="26" xfId="0" applyNumberFormat="1" applyFont="1" applyBorder="1" applyAlignment="1">
      <alignment horizontal="center"/>
    </xf>
    <xf numFmtId="0" fontId="0" fillId="3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0" borderId="30" xfId="0" applyFont="1" applyFill="1" applyBorder="1" applyAlignment="1">
      <alignment horizontal="left" vertical="center" indent="1"/>
    </xf>
    <xf numFmtId="0" fontId="0" fillId="0" borderId="30" xfId="0" applyBorder="1" applyAlignment="1">
      <alignment/>
    </xf>
    <xf numFmtId="0" fontId="0" fillId="30" borderId="30" xfId="0" applyFont="1" applyFill="1" applyBorder="1" applyAlignment="1">
      <alignment horizontal="left" indent="1"/>
    </xf>
    <xf numFmtId="0" fontId="0" fillId="30" borderId="30" xfId="0" applyFont="1" applyFill="1" applyBorder="1" applyAlignment="1">
      <alignment/>
    </xf>
    <xf numFmtId="0" fontId="0" fillId="30" borderId="0" xfId="0" applyFill="1" applyBorder="1" applyAlignment="1">
      <alignment horizontal="center"/>
    </xf>
    <xf numFmtId="0" fontId="0" fillId="30" borderId="26" xfId="0" applyFill="1" applyBorder="1" applyAlignment="1">
      <alignment horizontal="center"/>
    </xf>
    <xf numFmtId="182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 vertical="center"/>
    </xf>
    <xf numFmtId="0" fontId="0" fillId="30" borderId="0" xfId="0" applyFill="1" applyBorder="1" applyAlignment="1">
      <alignment vertical="center"/>
    </xf>
    <xf numFmtId="0" fontId="0" fillId="30" borderId="0" xfId="0" applyFont="1" applyFill="1" applyBorder="1" applyAlignment="1">
      <alignment horizontal="center"/>
    </xf>
    <xf numFmtId="0" fontId="0" fillId="30" borderId="26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10" fontId="106" fillId="30" borderId="0" xfId="91" applyNumberFormat="1" applyFont="1" applyFill="1" applyBorder="1" applyAlignment="1">
      <alignment horizontal="center"/>
    </xf>
    <xf numFmtId="190" fontId="0" fillId="30" borderId="40" xfId="0" applyNumberFormat="1" applyFont="1" applyFill="1" applyBorder="1" applyAlignment="1">
      <alignment horizontal="center"/>
    </xf>
    <xf numFmtId="3" fontId="0" fillId="30" borderId="40" xfId="0" applyNumberFormat="1" applyFont="1" applyFill="1" applyBorder="1" applyAlignment="1">
      <alignment horizontal="center"/>
    </xf>
    <xf numFmtId="173" fontId="0" fillId="30" borderId="40" xfId="284" applyNumberFormat="1" applyFont="1" applyFill="1" applyBorder="1" applyAlignment="1">
      <alignment horizontal="center"/>
    </xf>
    <xf numFmtId="10" fontId="0" fillId="30" borderId="42" xfId="284" applyNumberFormat="1" applyFont="1" applyFill="1" applyBorder="1" applyAlignment="1">
      <alignment horizontal="center"/>
    </xf>
    <xf numFmtId="186" fontId="0" fillId="30" borderId="39" xfId="0" applyNumberFormat="1" applyFont="1" applyFill="1" applyBorder="1" applyAlignment="1">
      <alignment horizontal="center"/>
    </xf>
    <xf numFmtId="10" fontId="0" fillId="30" borderId="40" xfId="0" applyNumberFormat="1" applyFont="1" applyFill="1" applyBorder="1" applyAlignment="1">
      <alignment horizontal="center"/>
    </xf>
    <xf numFmtId="185" fontId="0" fillId="30" borderId="40" xfId="0" applyNumberFormat="1" applyFont="1" applyFill="1" applyBorder="1" applyAlignment="1">
      <alignment horizontal="center"/>
    </xf>
    <xf numFmtId="173" fontId="0" fillId="30" borderId="42" xfId="284" applyNumberFormat="1" applyFont="1" applyFill="1" applyBorder="1" applyAlignment="1">
      <alignment horizontal="center"/>
    </xf>
    <xf numFmtId="0" fontId="0" fillId="36" borderId="27" xfId="0" applyFill="1" applyBorder="1" applyAlignment="1">
      <alignment/>
    </xf>
    <xf numFmtId="0" fontId="0" fillId="36" borderId="42" xfId="0" applyFill="1" applyBorder="1" applyAlignment="1">
      <alignment/>
    </xf>
    <xf numFmtId="3" fontId="0" fillId="36" borderId="39" xfId="0" applyNumberFormat="1" applyFont="1" applyFill="1" applyBorder="1" applyAlignment="1">
      <alignment horizontal="center"/>
    </xf>
    <xf numFmtId="3" fontId="0" fillId="36" borderId="40" xfId="0" applyNumberFormat="1" applyFont="1" applyFill="1" applyBorder="1" applyAlignment="1">
      <alignment horizontal="center"/>
    </xf>
    <xf numFmtId="3" fontId="0" fillId="36" borderId="40" xfId="0" applyNumberForma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3" fontId="0" fillId="36" borderId="27" xfId="0" applyNumberFormat="1" applyFill="1" applyBorder="1" applyAlignment="1">
      <alignment horizontal="center"/>
    </xf>
    <xf numFmtId="188" fontId="0" fillId="36" borderId="27" xfId="0" applyNumberFormat="1" applyFill="1" applyBorder="1" applyAlignment="1">
      <alignment horizontal="center"/>
    </xf>
    <xf numFmtId="188" fontId="0" fillId="36" borderId="42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32" borderId="0" xfId="0" applyNumberFormat="1" applyFont="1" applyFill="1" applyBorder="1" applyAlignment="1">
      <alignment horizontal="center"/>
    </xf>
    <xf numFmtId="188" fontId="0" fillId="0" borderId="26" xfId="0" applyNumberFormat="1" applyBorder="1" applyAlignment="1">
      <alignment horizontal="center"/>
    </xf>
    <xf numFmtId="188" fontId="3" fillId="32" borderId="26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 horizontal="left" indent="1"/>
    </xf>
    <xf numFmtId="0" fontId="0" fillId="30" borderId="0" xfId="0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4" fillId="0" borderId="0" xfId="0" applyFont="1" applyAlignment="1">
      <alignment horizontal="center"/>
    </xf>
    <xf numFmtId="0" fontId="107" fillId="37" borderId="0" xfId="0" applyFont="1" applyFill="1" applyAlignment="1">
      <alignment/>
    </xf>
    <xf numFmtId="238" fontId="107" fillId="37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238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238" fontId="2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38" borderId="0" xfId="0" applyFont="1" applyFill="1" applyAlignment="1">
      <alignment/>
    </xf>
    <xf numFmtId="185" fontId="108" fillId="33" borderId="0" xfId="0" applyNumberFormat="1" applyFont="1" applyFill="1" applyBorder="1" applyAlignment="1">
      <alignment wrapText="1"/>
    </xf>
    <xf numFmtId="0" fontId="107" fillId="37" borderId="0" xfId="0" applyFont="1" applyFill="1" applyAlignment="1">
      <alignment horizontal="center"/>
    </xf>
    <xf numFmtId="0" fontId="2" fillId="39" borderId="0" xfId="0" applyFont="1" applyFill="1" applyAlignment="1">
      <alignment/>
    </xf>
    <xf numFmtId="228" fontId="108" fillId="33" borderId="0" xfId="0" applyNumberFormat="1" applyFont="1" applyFill="1" applyBorder="1" applyAlignment="1">
      <alignment wrapText="1"/>
    </xf>
    <xf numFmtId="228" fontId="108" fillId="40" borderId="0" xfId="0" applyNumberFormat="1" applyFont="1" applyFill="1" applyBorder="1" applyAlignment="1">
      <alignment wrapText="1"/>
    </xf>
    <xf numFmtId="228" fontId="2" fillId="0" borderId="0" xfId="0" applyNumberFormat="1" applyFont="1" applyAlignment="1">
      <alignment/>
    </xf>
    <xf numFmtId="239" fontId="2" fillId="0" borderId="0" xfId="0" applyNumberFormat="1" applyFont="1" applyAlignment="1">
      <alignment/>
    </xf>
    <xf numFmtId="0" fontId="109" fillId="37" borderId="0" xfId="0" applyFont="1" applyFill="1" applyAlignment="1">
      <alignment/>
    </xf>
    <xf numFmtId="0" fontId="109" fillId="37" borderId="0" xfId="0" applyFont="1" applyFill="1" applyAlignment="1">
      <alignment horizontal="center"/>
    </xf>
    <xf numFmtId="0" fontId="110" fillId="41" borderId="0" xfId="0" applyFont="1" applyFill="1" applyBorder="1" applyAlignment="1">
      <alignment horizontal="center" vertical="center" wrapText="1"/>
    </xf>
    <xf numFmtId="17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37" fillId="28" borderId="34" xfId="0" applyFont="1" applyFill="1" applyBorder="1" applyAlignment="1">
      <alignment wrapText="1" shrinkToFit="1"/>
    </xf>
    <xf numFmtId="0" fontId="0" fillId="0" borderId="37" xfId="91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38" xfId="91" applyNumberFormat="1" applyFont="1" applyFill="1" applyBorder="1" applyAlignment="1">
      <alignment horizontal="center"/>
    </xf>
    <xf numFmtId="185" fontId="0" fillId="0" borderId="36" xfId="0" applyNumberFormat="1" applyFont="1" applyFill="1" applyBorder="1" applyAlignment="1">
      <alignment horizontal="center"/>
    </xf>
    <xf numFmtId="0" fontId="0" fillId="30" borderId="37" xfId="0" applyFont="1" applyFill="1" applyBorder="1" applyAlignment="1">
      <alignment vertical="top"/>
    </xf>
    <xf numFmtId="0" fontId="0" fillId="0" borderId="41" xfId="91" applyNumberFormat="1" applyFont="1" applyFill="1" applyBorder="1" applyAlignment="1">
      <alignment horizontal="center"/>
    </xf>
    <xf numFmtId="185" fontId="0" fillId="0" borderId="27" xfId="0" applyNumberFormat="1" applyFont="1" applyFill="1" applyBorder="1" applyAlignment="1">
      <alignment horizontal="center"/>
    </xf>
    <xf numFmtId="0" fontId="0" fillId="30" borderId="41" xfId="0" applyFont="1" applyFill="1" applyBorder="1" applyAlignment="1">
      <alignment vertical="top"/>
    </xf>
    <xf numFmtId="3" fontId="0" fillId="36" borderId="0" xfId="284" applyNumberFormat="1" applyFont="1" applyFill="1" applyBorder="1" applyAlignment="1">
      <alignment horizontal="center" vertical="center"/>
    </xf>
    <xf numFmtId="188" fontId="0" fillId="36" borderId="0" xfId="284" applyNumberFormat="1" applyFont="1" applyFill="1" applyBorder="1" applyAlignment="1">
      <alignment horizontal="center" vertical="center"/>
    </xf>
    <xf numFmtId="188" fontId="0" fillId="36" borderId="40" xfId="284" applyNumberFormat="1" applyFont="1" applyFill="1" applyBorder="1" applyAlignment="1">
      <alignment horizontal="center" vertical="center"/>
    </xf>
    <xf numFmtId="9" fontId="0" fillId="36" borderId="0" xfId="0" applyNumberFormat="1" applyFont="1" applyFill="1" applyBorder="1" applyAlignment="1">
      <alignment horizontal="center" vertical="center"/>
    </xf>
    <xf numFmtId="188" fontId="0" fillId="36" borderId="0" xfId="0" applyNumberFormat="1" applyFont="1" applyFill="1" applyBorder="1" applyAlignment="1">
      <alignment horizontal="center" vertical="center"/>
    </xf>
    <xf numFmtId="188" fontId="0" fillId="36" borderId="40" xfId="0" applyNumberFormat="1" applyFont="1" applyFill="1" applyBorder="1" applyAlignment="1">
      <alignment horizontal="center" vertical="center"/>
    </xf>
    <xf numFmtId="9" fontId="0" fillId="36" borderId="27" xfId="0" applyNumberFormat="1" applyFont="1" applyFill="1" applyBorder="1" applyAlignment="1">
      <alignment horizontal="center" vertical="center"/>
    </xf>
    <xf numFmtId="188" fontId="0" fillId="36" borderId="27" xfId="0" applyNumberFormat="1" applyFont="1" applyFill="1" applyBorder="1" applyAlignment="1">
      <alignment horizontal="center" vertical="center"/>
    </xf>
    <xf numFmtId="188" fontId="0" fillId="36" borderId="42" xfId="0" applyNumberFormat="1" applyFont="1" applyFill="1" applyBorder="1" applyAlignment="1">
      <alignment horizontal="center" vertical="center"/>
    </xf>
    <xf numFmtId="167" fontId="3" fillId="0" borderId="32" xfId="0" applyNumberFormat="1" applyFont="1" applyBorder="1" applyAlignment="1">
      <alignment/>
    </xf>
    <xf numFmtId="0" fontId="111" fillId="0" borderId="0" xfId="0" applyFont="1" applyAlignment="1">
      <alignment/>
    </xf>
    <xf numFmtId="0" fontId="112" fillId="33" borderId="56" xfId="0" applyFont="1" applyFill="1" applyBorder="1" applyAlignment="1">
      <alignment horizontal="left" vertical="top" wrapText="1" indent="1"/>
    </xf>
    <xf numFmtId="0" fontId="112" fillId="33" borderId="57" xfId="0" applyFont="1" applyFill="1" applyBorder="1" applyAlignment="1">
      <alignment horizontal="left" vertical="top" wrapText="1" indent="1"/>
    </xf>
    <xf numFmtId="0" fontId="112" fillId="33" borderId="58" xfId="0" applyFont="1" applyFill="1" applyBorder="1" applyAlignment="1">
      <alignment horizontal="left" vertical="top" wrapText="1" indent="1"/>
    </xf>
    <xf numFmtId="0" fontId="112" fillId="33" borderId="59" xfId="0" applyFont="1" applyFill="1" applyBorder="1" applyAlignment="1">
      <alignment horizontal="left" vertical="top" wrapText="1" indent="1"/>
    </xf>
    <xf numFmtId="0" fontId="112" fillId="33" borderId="60" xfId="0" applyFont="1" applyFill="1" applyBorder="1" applyAlignment="1">
      <alignment horizontal="left" vertical="top" wrapText="1" indent="1"/>
    </xf>
    <xf numFmtId="0" fontId="112" fillId="33" borderId="61" xfId="0" applyFont="1" applyFill="1" applyBorder="1" applyAlignment="1">
      <alignment horizontal="left" vertical="top" wrapText="1" indent="1"/>
    </xf>
    <xf numFmtId="0" fontId="111" fillId="33" borderId="62" xfId="0" applyFont="1" applyFill="1" applyBorder="1" applyAlignment="1">
      <alignment horizontal="left" vertical="top" wrapText="1" indent="1"/>
    </xf>
    <xf numFmtId="14" fontId="111" fillId="33" borderId="63" xfId="0" applyNumberFormat="1" applyFont="1" applyFill="1" applyBorder="1" applyAlignment="1">
      <alignment horizontal="left" vertical="top" wrapText="1" indent="1"/>
    </xf>
    <xf numFmtId="14" fontId="111" fillId="33" borderId="64" xfId="0" applyNumberFormat="1" applyFont="1" applyFill="1" applyBorder="1" applyAlignment="1">
      <alignment horizontal="left" vertical="top" wrapText="1" indent="1"/>
    </xf>
    <xf numFmtId="0" fontId="111" fillId="33" borderId="63" xfId="0" applyFont="1" applyFill="1" applyBorder="1" applyAlignment="1">
      <alignment horizontal="left" vertical="top" wrapText="1" indent="1"/>
    </xf>
    <xf numFmtId="0" fontId="111" fillId="33" borderId="64" xfId="0" applyFont="1" applyFill="1" applyBorder="1" applyAlignment="1">
      <alignment horizontal="left" vertical="top" wrapText="1" indent="1"/>
    </xf>
    <xf numFmtId="0" fontId="112" fillId="33" borderId="65" xfId="0" applyFont="1" applyFill="1" applyBorder="1" applyAlignment="1">
      <alignment horizontal="left" vertical="top" wrapText="1" indent="1"/>
    </xf>
    <xf numFmtId="0" fontId="112" fillId="33" borderId="66" xfId="0" applyFont="1" applyFill="1" applyBorder="1" applyAlignment="1">
      <alignment horizontal="left" vertical="top" wrapText="1" indent="1"/>
    </xf>
    <xf numFmtId="0" fontId="112" fillId="33" borderId="63" xfId="0" applyFont="1" applyFill="1" applyBorder="1" applyAlignment="1">
      <alignment horizontal="left" vertical="top" wrapText="1" indent="1"/>
    </xf>
    <xf numFmtId="0" fontId="112" fillId="33" borderId="64" xfId="0" applyFont="1" applyFill="1" applyBorder="1" applyAlignment="1">
      <alignment horizontal="left" vertical="top" wrapText="1" indent="1"/>
    </xf>
    <xf numFmtId="0" fontId="113" fillId="0" borderId="0" xfId="0" applyFont="1" applyAlignment="1">
      <alignment vertical="center" wrapText="1"/>
    </xf>
    <xf numFmtId="0" fontId="114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115" fillId="33" borderId="56" xfId="0" applyFont="1" applyFill="1" applyBorder="1" applyAlignment="1">
      <alignment horizontal="left" vertical="top" wrapText="1"/>
    </xf>
    <xf numFmtId="14" fontId="115" fillId="33" borderId="57" xfId="0" applyNumberFormat="1" applyFont="1" applyFill="1" applyBorder="1" applyAlignment="1">
      <alignment horizontal="left" vertical="top" wrapText="1"/>
    </xf>
    <xf numFmtId="0" fontId="115" fillId="33" borderId="62" xfId="0" applyFont="1" applyFill="1" applyBorder="1" applyAlignment="1">
      <alignment horizontal="left" vertical="top" wrapText="1"/>
    </xf>
    <xf numFmtId="14" fontId="115" fillId="33" borderId="63" xfId="0" applyNumberFormat="1" applyFont="1" applyFill="1" applyBorder="1" applyAlignment="1">
      <alignment horizontal="left" vertical="top" wrapText="1"/>
    </xf>
    <xf numFmtId="0" fontId="111" fillId="33" borderId="56" xfId="0" applyFont="1" applyFill="1" applyBorder="1" applyAlignment="1">
      <alignment horizontal="left" vertical="top" wrapText="1"/>
    </xf>
    <xf numFmtId="14" fontId="111" fillId="33" borderId="57" xfId="0" applyNumberFormat="1" applyFont="1" applyFill="1" applyBorder="1" applyAlignment="1">
      <alignment horizontal="left" vertical="top" wrapText="1"/>
    </xf>
    <xf numFmtId="0" fontId="111" fillId="33" borderId="57" xfId="0" applyFont="1" applyFill="1" applyBorder="1" applyAlignment="1">
      <alignment horizontal="left" vertical="top" wrapText="1"/>
    </xf>
    <xf numFmtId="0" fontId="111" fillId="33" borderId="58" xfId="0" applyFont="1" applyFill="1" applyBorder="1" applyAlignment="1">
      <alignment horizontal="left" vertical="top" wrapText="1"/>
    </xf>
    <xf numFmtId="0" fontId="111" fillId="33" borderId="59" xfId="0" applyFont="1" applyFill="1" applyBorder="1" applyAlignment="1">
      <alignment horizontal="left" vertical="top" wrapText="1"/>
    </xf>
    <xf numFmtId="14" fontId="111" fillId="33" borderId="60" xfId="0" applyNumberFormat="1" applyFont="1" applyFill="1" applyBorder="1" applyAlignment="1">
      <alignment horizontal="left" vertical="top" wrapText="1"/>
    </xf>
    <xf numFmtId="0" fontId="111" fillId="33" borderId="60" xfId="0" applyFont="1" applyFill="1" applyBorder="1" applyAlignment="1">
      <alignment horizontal="left" vertical="top" wrapText="1"/>
    </xf>
    <xf numFmtId="0" fontId="111" fillId="33" borderId="61" xfId="0" applyFont="1" applyFill="1" applyBorder="1" applyAlignment="1">
      <alignment horizontal="left" vertical="top" wrapText="1"/>
    </xf>
    <xf numFmtId="0" fontId="111" fillId="33" borderId="62" xfId="0" applyFont="1" applyFill="1" applyBorder="1" applyAlignment="1">
      <alignment horizontal="left" vertical="top" wrapText="1"/>
    </xf>
    <xf numFmtId="14" fontId="111" fillId="33" borderId="63" xfId="0" applyNumberFormat="1" applyFont="1" applyFill="1" applyBorder="1" applyAlignment="1">
      <alignment horizontal="left" vertical="top" wrapText="1"/>
    </xf>
    <xf numFmtId="0" fontId="111" fillId="33" borderId="63" xfId="0" applyFont="1" applyFill="1" applyBorder="1" applyAlignment="1">
      <alignment horizontal="left" vertical="top" wrapText="1"/>
    </xf>
    <xf numFmtId="0" fontId="111" fillId="33" borderId="64" xfId="0" applyFont="1" applyFill="1" applyBorder="1" applyAlignment="1">
      <alignment horizontal="left" vertical="top" wrapText="1"/>
    </xf>
    <xf numFmtId="14" fontId="115" fillId="33" borderId="58" xfId="0" applyNumberFormat="1" applyFont="1" applyFill="1" applyBorder="1" applyAlignment="1">
      <alignment horizontal="left" vertical="top" wrapText="1"/>
    </xf>
    <xf numFmtId="14" fontId="115" fillId="33" borderId="64" xfId="0" applyNumberFormat="1" applyFont="1" applyFill="1" applyBorder="1" applyAlignment="1">
      <alignment horizontal="left" vertical="top" wrapText="1"/>
    </xf>
    <xf numFmtId="0" fontId="115" fillId="33" borderId="67" xfId="0" applyFont="1" applyFill="1" applyBorder="1" applyAlignment="1">
      <alignment horizontal="left" vertical="top" wrapText="1"/>
    </xf>
    <xf numFmtId="14" fontId="115" fillId="33" borderId="65" xfId="0" applyNumberFormat="1" applyFont="1" applyFill="1" applyBorder="1" applyAlignment="1">
      <alignment horizontal="left" vertical="top" wrapText="1"/>
    </xf>
    <xf numFmtId="14" fontId="115" fillId="33" borderId="66" xfId="0" applyNumberFormat="1" applyFont="1" applyFill="1" applyBorder="1" applyAlignment="1">
      <alignment horizontal="left" vertical="top" wrapText="1"/>
    </xf>
    <xf numFmtId="10" fontId="0" fillId="0" borderId="0" xfId="0" applyNumberFormat="1" applyAlignment="1">
      <alignment/>
    </xf>
    <xf numFmtId="0" fontId="3" fillId="42" borderId="68" xfId="0" applyFont="1" applyFill="1" applyBorder="1" applyAlignment="1">
      <alignment horizontal="center" vertical="center"/>
    </xf>
    <xf numFmtId="0" fontId="3" fillId="42" borderId="69" xfId="0" applyFont="1" applyFill="1" applyBorder="1" applyAlignment="1">
      <alignment horizontal="center" vertical="center"/>
    </xf>
    <xf numFmtId="0" fontId="3" fillId="43" borderId="70" xfId="0" applyFont="1" applyFill="1" applyBorder="1" applyAlignment="1">
      <alignment horizontal="center" vertical="center"/>
    </xf>
    <xf numFmtId="0" fontId="3" fillId="43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/>
    </xf>
    <xf numFmtId="188" fontId="0" fillId="0" borderId="72" xfId="0" applyNumberFormat="1" applyBorder="1" applyAlignment="1">
      <alignment/>
    </xf>
    <xf numFmtId="188" fontId="0" fillId="0" borderId="0" xfId="0" applyNumberFormat="1" applyAlignment="1">
      <alignment/>
    </xf>
    <xf numFmtId="0" fontId="0" fillId="0" borderId="73" xfId="0" applyBorder="1" applyAlignment="1">
      <alignment horizontal="center"/>
    </xf>
    <xf numFmtId="165" fontId="0" fillId="0" borderId="74" xfId="0" applyNumberFormat="1" applyBorder="1" applyAlignment="1">
      <alignment/>
    </xf>
    <xf numFmtId="165" fontId="0" fillId="0" borderId="75" xfId="0" applyNumberFormat="1" applyBorder="1" applyAlignment="1">
      <alignment/>
    </xf>
    <xf numFmtId="0" fontId="0" fillId="0" borderId="11" xfId="0" applyBorder="1" applyAlignment="1">
      <alignment horizontal="center"/>
    </xf>
    <xf numFmtId="188" fontId="0" fillId="0" borderId="11" xfId="0" applyNumberFormat="1" applyBorder="1" applyAlignment="1">
      <alignment/>
    </xf>
    <xf numFmtId="0" fontId="0" fillId="0" borderId="76" xfId="0" applyBorder="1" applyAlignment="1">
      <alignment horizontal="center"/>
    </xf>
    <xf numFmtId="165" fontId="0" fillId="0" borderId="11" xfId="0" applyNumberFormat="1" applyBorder="1" applyAlignment="1">
      <alignment/>
    </xf>
    <xf numFmtId="165" fontId="0" fillId="0" borderId="77" xfId="0" applyNumberFormat="1" applyBorder="1" applyAlignment="1">
      <alignment/>
    </xf>
    <xf numFmtId="0" fontId="0" fillId="0" borderId="78" xfId="0" applyBorder="1" applyAlignment="1">
      <alignment horizontal="center"/>
    </xf>
    <xf numFmtId="165" fontId="0" fillId="0" borderId="70" xfId="0" applyNumberFormat="1" applyBorder="1" applyAlignment="1">
      <alignment/>
    </xf>
    <xf numFmtId="165" fontId="0" fillId="0" borderId="71" xfId="0" applyNumberFormat="1" applyBorder="1" applyAlignment="1">
      <alignment/>
    </xf>
    <xf numFmtId="0" fontId="3" fillId="44" borderId="73" xfId="0" applyFont="1" applyFill="1" applyBorder="1" applyAlignment="1">
      <alignment horizontal="center"/>
    </xf>
    <xf numFmtId="165" fontId="3" fillId="44" borderId="74" xfId="0" applyNumberFormat="1" applyFont="1" applyFill="1" applyBorder="1" applyAlignment="1">
      <alignment/>
    </xf>
    <xf numFmtId="165" fontId="3" fillId="44" borderId="75" xfId="0" applyNumberFormat="1" applyFont="1" applyFill="1" applyBorder="1" applyAlignment="1">
      <alignment/>
    </xf>
    <xf numFmtId="0" fontId="3" fillId="44" borderId="79" xfId="0" applyFont="1" applyFill="1" applyBorder="1" applyAlignment="1">
      <alignment horizontal="center"/>
    </xf>
    <xf numFmtId="165" fontId="3" fillId="44" borderId="68" xfId="0" applyNumberFormat="1" applyFont="1" applyFill="1" applyBorder="1" applyAlignment="1">
      <alignment/>
    </xf>
    <xf numFmtId="165" fontId="3" fillId="44" borderId="69" xfId="0" applyNumberFormat="1" applyFont="1" applyFill="1" applyBorder="1" applyAlignment="1">
      <alignment/>
    </xf>
    <xf numFmtId="0" fontId="0" fillId="36" borderId="36" xfId="0" applyFont="1" applyFill="1" applyBorder="1" applyAlignment="1">
      <alignment vertical="center"/>
    </xf>
    <xf numFmtId="0" fontId="0" fillId="36" borderId="36" xfId="0" applyFill="1" applyBorder="1" applyAlignment="1">
      <alignment vertical="center"/>
    </xf>
    <xf numFmtId="0" fontId="0" fillId="36" borderId="36" xfId="0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0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0" xfId="0" applyFont="1" applyFill="1" applyBorder="1" applyAlignment="1">
      <alignment horizontal="left" vertical="top" wrapText="1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116" fillId="37" borderId="11" xfId="0" applyFont="1" applyFill="1" applyBorder="1" applyAlignment="1">
      <alignment horizontal="center" vertical="center"/>
    </xf>
    <xf numFmtId="0" fontId="116" fillId="37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30" borderId="0" xfId="0" applyFill="1" applyBorder="1" applyAlignment="1">
      <alignment horizontal="left" vertical="top" wrapText="1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30" xfId="0" applyFont="1" applyBorder="1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 indent="1"/>
    </xf>
    <xf numFmtId="0" fontId="0" fillId="0" borderId="26" xfId="0" applyFont="1" applyBorder="1" applyAlignment="1">
      <alignment horizontal="left" vertical="top" wrapText="1" indent="1"/>
    </xf>
    <xf numFmtId="0" fontId="0" fillId="0" borderId="30" xfId="0" applyFont="1" applyBorder="1" applyAlignment="1">
      <alignment horizontal="left" vertical="top" indent="1"/>
    </xf>
    <xf numFmtId="0" fontId="0" fillId="0" borderId="0" xfId="0" applyFont="1" applyBorder="1" applyAlignment="1">
      <alignment horizontal="left" vertical="top" indent="1"/>
    </xf>
    <xf numFmtId="0" fontId="0" fillId="0" borderId="26" xfId="0" applyFont="1" applyBorder="1" applyAlignment="1">
      <alignment horizontal="left" vertical="top" indent="1"/>
    </xf>
    <xf numFmtId="0" fontId="116" fillId="37" borderId="46" xfId="0" applyFont="1" applyFill="1" applyBorder="1" applyAlignment="1">
      <alignment horizontal="center"/>
    </xf>
    <xf numFmtId="0" fontId="116" fillId="37" borderId="14" xfId="0" applyFont="1" applyFill="1" applyBorder="1" applyAlignment="1">
      <alignment horizontal="center"/>
    </xf>
    <xf numFmtId="0" fontId="116" fillId="37" borderId="47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2" borderId="4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0" fillId="30" borderId="30" xfId="0" applyFont="1" applyFill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48" fillId="0" borderId="0" xfId="0" applyFont="1" applyAlignment="1">
      <alignment/>
    </xf>
    <xf numFmtId="0" fontId="112" fillId="33" borderId="80" xfId="0" applyFont="1" applyFill="1" applyBorder="1" applyAlignment="1">
      <alignment horizontal="left" vertical="top" wrapText="1" indent="1"/>
    </xf>
    <xf numFmtId="0" fontId="112" fillId="33" borderId="81" xfId="0" applyFont="1" applyFill="1" applyBorder="1" applyAlignment="1">
      <alignment horizontal="left" vertical="top" wrapText="1" indent="1"/>
    </xf>
    <xf numFmtId="0" fontId="112" fillId="33" borderId="82" xfId="0" applyFont="1" applyFill="1" applyBorder="1" applyAlignment="1">
      <alignment horizontal="left" vertical="top" wrapText="1" indent="1"/>
    </xf>
    <xf numFmtId="0" fontId="11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89" fillId="0" borderId="0" xfId="206" applyFont="1" applyAlignment="1" applyProtection="1">
      <alignment horizontal="left" vertical="center" wrapText="1"/>
      <protection/>
    </xf>
    <xf numFmtId="0" fontId="103" fillId="33" borderId="53" xfId="0" applyFont="1" applyFill="1" applyBorder="1" applyAlignment="1">
      <alignment horizontal="center" vertical="center" wrapText="1"/>
    </xf>
    <xf numFmtId="0" fontId="103" fillId="33" borderId="54" xfId="0" applyFont="1" applyFill="1" applyBorder="1" applyAlignment="1">
      <alignment horizontal="center" vertical="center" wrapText="1"/>
    </xf>
    <xf numFmtId="0" fontId="3" fillId="42" borderId="73" xfId="0" applyFont="1" applyFill="1" applyBorder="1" applyAlignment="1">
      <alignment horizontal="center" vertical="center" wrapText="1"/>
    </xf>
    <xf numFmtId="0" fontId="3" fillId="42" borderId="79" xfId="0" applyFont="1" applyFill="1" applyBorder="1" applyAlignment="1">
      <alignment horizontal="center" vertical="center" wrapText="1"/>
    </xf>
    <xf numFmtId="0" fontId="3" fillId="42" borderId="74" xfId="0" applyFont="1" applyFill="1" applyBorder="1" applyAlignment="1">
      <alignment horizontal="center" vertical="center"/>
    </xf>
    <xf numFmtId="0" fontId="3" fillId="42" borderId="75" xfId="0" applyFont="1" applyFill="1" applyBorder="1" applyAlignment="1">
      <alignment horizontal="center" vertical="center"/>
    </xf>
    <xf numFmtId="0" fontId="3" fillId="43" borderId="73" xfId="0" applyFont="1" applyFill="1" applyBorder="1" applyAlignment="1">
      <alignment horizontal="center" vertical="center" wrapText="1"/>
    </xf>
    <xf numFmtId="0" fontId="3" fillId="43" borderId="78" xfId="0" applyFont="1" applyFill="1" applyBorder="1" applyAlignment="1">
      <alignment horizontal="center" vertical="center" wrapText="1"/>
    </xf>
    <xf numFmtId="0" fontId="3" fillId="43" borderId="74" xfId="0" applyFont="1" applyFill="1" applyBorder="1" applyAlignment="1">
      <alignment horizontal="center" vertical="center"/>
    </xf>
    <xf numFmtId="0" fontId="3" fillId="43" borderId="75" xfId="0" applyFont="1" applyFill="1" applyBorder="1" applyAlignment="1">
      <alignment horizontal="center" vertical="center"/>
    </xf>
  </cellXfs>
  <cellStyles count="497">
    <cellStyle name="Normal" xfId="0"/>
    <cellStyle name="RowLevel_0" xfId="1"/>
    <cellStyle name="&#10;386grabber=M" xfId="15"/>
    <cellStyle name=";;;" xfId="16"/>
    <cellStyle name="%" xfId="17"/>
    <cellStyle name="% 2" xfId="18"/>
    <cellStyle name="%_CSI Individual Installation Tool DRAFTv5 test" xfId="19"/>
    <cellStyle name="%_CSI Individual Installation Tool DRAFTv5 test 2" xfId="20"/>
    <cellStyle name="000" xfId="21"/>
    <cellStyle name="000 2" xfId="22"/>
    <cellStyle name="20% - Accent1" xfId="23"/>
    <cellStyle name="20% - Accent1 2" xfId="24"/>
    <cellStyle name="20% - Accent2" xfId="25"/>
    <cellStyle name="20% - Accent2 2" xfId="26"/>
    <cellStyle name="20% - Accent3" xfId="27"/>
    <cellStyle name="20% - Accent3 2" xfId="28"/>
    <cellStyle name="20% - Accent4" xfId="29"/>
    <cellStyle name="20% - Accent4 2" xfId="30"/>
    <cellStyle name="20% - Accent5" xfId="31"/>
    <cellStyle name="20% - Accent5 2" xfId="32"/>
    <cellStyle name="20% - Accent6" xfId="33"/>
    <cellStyle name="20% - Accent6 2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ccounting" xfId="59"/>
    <cellStyle name="Actual Date" xfId="60"/>
    <cellStyle name="Actual Date 2" xfId="61"/>
    <cellStyle name="AFE" xfId="62"/>
    <cellStyle name="Arial 10" xfId="63"/>
    <cellStyle name="Arial 10 2" xfId="64"/>
    <cellStyle name="Arial 12" xfId="65"/>
    <cellStyle name="ArialNormal" xfId="66"/>
    <cellStyle name="ArialNormal 2" xfId="67"/>
    <cellStyle name="Background" xfId="68"/>
    <cellStyle name="Bad" xfId="69"/>
    <cellStyle name="BalanceSheet" xfId="70"/>
    <cellStyle name="Biomass" xfId="71"/>
    <cellStyle name="Black" xfId="72"/>
    <cellStyle name="blank" xfId="73"/>
    <cellStyle name="Blue" xfId="74"/>
    <cellStyle name="Blue_AC 11-12-04" xfId="75"/>
    <cellStyle name="blue$00" xfId="76"/>
    <cellStyle name="British Pound" xfId="77"/>
    <cellStyle name="Calc Currency (0)" xfId="78"/>
    <cellStyle name="Calc Currency (2)" xfId="79"/>
    <cellStyle name="Calc Percent (0)" xfId="80"/>
    <cellStyle name="Calc Percent (1)" xfId="81"/>
    <cellStyle name="Calc Percent (2)" xfId="82"/>
    <cellStyle name="Calc Units (0)" xfId="83"/>
    <cellStyle name="Calc Units (1)" xfId="84"/>
    <cellStyle name="Calc Units (2)" xfId="85"/>
    <cellStyle name="Calculation" xfId="86"/>
    <cellStyle name="Case" xfId="87"/>
    <cellStyle name="CashFlow" xfId="88"/>
    <cellStyle name="Check Cell" xfId="89"/>
    <cellStyle name="Colhead" xfId="90"/>
    <cellStyle name="Comma" xfId="91"/>
    <cellStyle name="Comma (0)" xfId="92"/>
    <cellStyle name="Comma [0]" xfId="93"/>
    <cellStyle name="Comma [00]" xfId="94"/>
    <cellStyle name="Comma [1]" xfId="95"/>
    <cellStyle name="Comma [2]" xfId="96"/>
    <cellStyle name="Comma 0" xfId="97"/>
    <cellStyle name="Comma 0*" xfId="98"/>
    <cellStyle name="Comma 2" xfId="99"/>
    <cellStyle name="Comma 3" xfId="100"/>
    <cellStyle name="Comma 3 2" xfId="101"/>
    <cellStyle name="Comma 4" xfId="102"/>
    <cellStyle name="Comma 4 2" xfId="103"/>
    <cellStyle name="Comma[1]" xfId="104"/>
    <cellStyle name="Comma[2]" xfId="105"/>
    <cellStyle name="Comma0" xfId="106"/>
    <cellStyle name="Comma0 2" xfId="107"/>
    <cellStyle name="Copied" xfId="108"/>
    <cellStyle name="Currency" xfId="109"/>
    <cellStyle name="Currency ($)" xfId="110"/>
    <cellStyle name="Currency ($) 2" xfId="111"/>
    <cellStyle name="Currency (3)" xfId="112"/>
    <cellStyle name="Currency [0]" xfId="113"/>
    <cellStyle name="Currency [00]" xfId="114"/>
    <cellStyle name="Currency [1]" xfId="115"/>
    <cellStyle name="Currency [2]" xfId="116"/>
    <cellStyle name="Currency 0" xfId="117"/>
    <cellStyle name="Currency 2" xfId="118"/>
    <cellStyle name="Currency 3" xfId="119"/>
    <cellStyle name="Currency 3 2" xfId="120"/>
    <cellStyle name="Currency[1]" xfId="121"/>
    <cellStyle name="Currency[2]" xfId="122"/>
    <cellStyle name="Currency0" xfId="123"/>
    <cellStyle name="Currency1" xfId="124"/>
    <cellStyle name="Currency2" xfId="125"/>
    <cellStyle name="Date" xfId="126"/>
    <cellStyle name="Date Aligned" xfId="127"/>
    <cellStyle name="Date Short" xfId="128"/>
    <cellStyle name="Date_LCOE ProForma" xfId="129"/>
    <cellStyle name="Date1" xfId="130"/>
    <cellStyle name="Dates" xfId="131"/>
    <cellStyle name="DateYear" xfId="132"/>
    <cellStyle name="DELTA" xfId="133"/>
    <cellStyle name="Dollar" xfId="134"/>
    <cellStyle name="Dollar1" xfId="135"/>
    <cellStyle name="Dollar1Blue" xfId="136"/>
    <cellStyle name="Dollar2" xfId="137"/>
    <cellStyle name="Dollars" xfId="138"/>
    <cellStyle name="DollarWhole" xfId="139"/>
    <cellStyle name="Dotted Line" xfId="140"/>
    <cellStyle name="Double Accounting" xfId="141"/>
    <cellStyle name="Enter Currency (0)" xfId="142"/>
    <cellStyle name="Enter Currency (2)" xfId="143"/>
    <cellStyle name="Enter Units (0)" xfId="144"/>
    <cellStyle name="Enter Units (1)" xfId="145"/>
    <cellStyle name="Enter Units (2)" xfId="146"/>
    <cellStyle name="Entered" xfId="147"/>
    <cellStyle name="Euro" xfId="148"/>
    <cellStyle name="Euro 2" xfId="149"/>
    <cellStyle name="Explanatory Text" xfId="150"/>
    <cellStyle name="Fixed" xfId="151"/>
    <cellStyle name="Fixed 2" xfId="152"/>
    <cellStyle name="Followed Hyperlink" xfId="153"/>
    <cellStyle name="Footnote" xfId="154"/>
    <cellStyle name="Footnote 2" xfId="155"/>
    <cellStyle name="Full Date" xfId="156"/>
    <cellStyle name="GENERAL" xfId="157"/>
    <cellStyle name="Good" xfId="158"/>
    <cellStyle name="Gray Border" xfId="159"/>
    <cellStyle name="Green" xfId="160"/>
    <cellStyle name="Grey" xfId="161"/>
    <cellStyle name="Grey 2" xfId="162"/>
    <cellStyle name="GrowthRate" xfId="163"/>
    <cellStyle name="hard no." xfId="164"/>
    <cellStyle name="Hard Percent" xfId="165"/>
    <cellStyle name="Header" xfId="166"/>
    <cellStyle name="Header1" xfId="167"/>
    <cellStyle name="Header2" xfId="168"/>
    <cellStyle name="Heading" xfId="169"/>
    <cellStyle name="Heading 1" xfId="170"/>
    <cellStyle name="Heading 1 10" xfId="171"/>
    <cellStyle name="Heading 1 11" xfId="172"/>
    <cellStyle name="Heading 1 12" xfId="173"/>
    <cellStyle name="Heading 1 13" xfId="174"/>
    <cellStyle name="Heading 1 14" xfId="175"/>
    <cellStyle name="Heading 1 2" xfId="176"/>
    <cellStyle name="Heading 1 3" xfId="177"/>
    <cellStyle name="Heading 1 4" xfId="178"/>
    <cellStyle name="Heading 1 5" xfId="179"/>
    <cellStyle name="Heading 1 6" xfId="180"/>
    <cellStyle name="Heading 1 7" xfId="181"/>
    <cellStyle name="Heading 1 8" xfId="182"/>
    <cellStyle name="Heading 1 9" xfId="183"/>
    <cellStyle name="Heading 2" xfId="184"/>
    <cellStyle name="Heading 2 10" xfId="185"/>
    <cellStyle name="Heading 2 11" xfId="186"/>
    <cellStyle name="Heading 2 12" xfId="187"/>
    <cellStyle name="Heading 2 13" xfId="188"/>
    <cellStyle name="Heading 2 14" xfId="189"/>
    <cellStyle name="Heading 2 2" xfId="190"/>
    <cellStyle name="Heading 2 3" xfId="191"/>
    <cellStyle name="Heading 2 4" xfId="192"/>
    <cellStyle name="Heading 2 5" xfId="193"/>
    <cellStyle name="Heading 2 6" xfId="194"/>
    <cellStyle name="Heading 2 7" xfId="195"/>
    <cellStyle name="Heading 2 8" xfId="196"/>
    <cellStyle name="Heading 2 9" xfId="197"/>
    <cellStyle name="Heading 3" xfId="198"/>
    <cellStyle name="Heading 4" xfId="199"/>
    <cellStyle name="Heading Left" xfId="200"/>
    <cellStyle name="Heading Right" xfId="201"/>
    <cellStyle name="Heading1" xfId="202"/>
    <cellStyle name="Heading2" xfId="203"/>
    <cellStyle name="HeadingS" xfId="204"/>
    <cellStyle name="HIGHLIGHT" xfId="205"/>
    <cellStyle name="Hyperlink" xfId="206"/>
    <cellStyle name="IncomeStatement" xfId="207"/>
    <cellStyle name="input" xfId="208"/>
    <cellStyle name="Input [0]" xfId="209"/>
    <cellStyle name="Input [yellow]" xfId="210"/>
    <cellStyle name="Input [yellow] 2" xfId="211"/>
    <cellStyle name="Input % [1]" xfId="212"/>
    <cellStyle name="Input % [2]" xfId="213"/>
    <cellStyle name="Input no $ [0]" xfId="214"/>
    <cellStyle name="Input_$cell" xfId="215"/>
    <cellStyle name="input.title" xfId="216"/>
    <cellStyle name="Lable8Left_Def" xfId="217"/>
    <cellStyle name="Link Currency (0)" xfId="218"/>
    <cellStyle name="Link Currency (2)" xfId="219"/>
    <cellStyle name="Link Units (0)" xfId="220"/>
    <cellStyle name="Link Units (1)" xfId="221"/>
    <cellStyle name="Link Units (2)" xfId="222"/>
    <cellStyle name="Linked Cell" xfId="223"/>
    <cellStyle name="list" xfId="224"/>
    <cellStyle name="locked" xfId="225"/>
    <cellStyle name="Margins" xfId="226"/>
    <cellStyle name="Month Date" xfId="227"/>
    <cellStyle name="MS_Hebrew" xfId="228"/>
    <cellStyle name="Multiple" xfId="229"/>
    <cellStyle name="Multiple [0]" xfId="230"/>
    <cellStyle name="Multiple [1]" xfId="231"/>
    <cellStyle name="Multiple_~0055150" xfId="232"/>
    <cellStyle name="Neutral" xfId="233"/>
    <cellStyle name="NEWMULTIPLE" xfId="234"/>
    <cellStyle name="no dec" xfId="235"/>
    <cellStyle name="Normal - Style1" xfId="236"/>
    <cellStyle name="Normal 16" xfId="237"/>
    <cellStyle name="Normal 16 2" xfId="238"/>
    <cellStyle name="Normal 2" xfId="239"/>
    <cellStyle name="Normal 2 2" xfId="240"/>
    <cellStyle name="Normal 2 2 2" xfId="241"/>
    <cellStyle name="Normal 2 3" xfId="242"/>
    <cellStyle name="Normal 2 3 2" xfId="243"/>
    <cellStyle name="Normal 2 4" xfId="244"/>
    <cellStyle name="Normal 2_Bid List Projects" xfId="245"/>
    <cellStyle name="Normal 3" xfId="246"/>
    <cellStyle name="Normal 3 2" xfId="247"/>
    <cellStyle name="Normal 4" xfId="248"/>
    <cellStyle name="Normal 4 2" xfId="249"/>
    <cellStyle name="Normal 5" xfId="250"/>
    <cellStyle name="Normal 6" xfId="251"/>
    <cellStyle name="NormalGB" xfId="252"/>
    <cellStyle name="Note" xfId="253"/>
    <cellStyle name="Note 2" xfId="254"/>
    <cellStyle name="Num0Un" xfId="255"/>
    <cellStyle name="Num1" xfId="256"/>
    <cellStyle name="Num1Blue" xfId="257"/>
    <cellStyle name="Num2" xfId="258"/>
    <cellStyle name="Num2Un" xfId="259"/>
    <cellStyle name="Number no Dec" xfId="260"/>
    <cellStyle name="Number no Dec 2" xfId="261"/>
    <cellStyle name="Number no Dec 2 2" xfId="262"/>
    <cellStyle name="Number no Dec 3" xfId="263"/>
    <cellStyle name="Number no Dec 3 2" xfId="264"/>
    <cellStyle name="Number no Dec 4" xfId="265"/>
    <cellStyle name="Number no Dec 4 2" xfId="266"/>
    <cellStyle name="Number no Dec 5" xfId="267"/>
    <cellStyle name="Number no Dec_Controls" xfId="268"/>
    <cellStyle name="Number0" xfId="269"/>
    <cellStyle name="Number1" xfId="270"/>
    <cellStyle name="Number2" xfId="271"/>
    <cellStyle name="Outline" xfId="272"/>
    <cellStyle name="Output" xfId="273"/>
    <cellStyle name="Output Amounts" xfId="274"/>
    <cellStyle name="Output Column Headings" xfId="275"/>
    <cellStyle name="Output Line Items" xfId="276"/>
    <cellStyle name="Output Report Heading" xfId="277"/>
    <cellStyle name="Output Report Title" xfId="278"/>
    <cellStyle name="Page Number" xfId="279"/>
    <cellStyle name="Paragraph text" xfId="280"/>
    <cellStyle name="Paragraph text 2" xfId="281"/>
    <cellStyle name="Parens (1)" xfId="282"/>
    <cellStyle name="Perc1" xfId="283"/>
    <cellStyle name="Percent" xfId="284"/>
    <cellStyle name="Percent (0)" xfId="285"/>
    <cellStyle name="Percent [0]" xfId="286"/>
    <cellStyle name="Percent [00]" xfId="287"/>
    <cellStyle name="Percent [1]" xfId="288"/>
    <cellStyle name="Percent [1] 2" xfId="289"/>
    <cellStyle name="Percent [2]" xfId="290"/>
    <cellStyle name="Percent 10" xfId="291"/>
    <cellStyle name="Percent 10 2" xfId="292"/>
    <cellStyle name="Percent 11" xfId="293"/>
    <cellStyle name="Percent 11 2" xfId="294"/>
    <cellStyle name="Percent 12" xfId="295"/>
    <cellStyle name="Percent 12 2" xfId="296"/>
    <cellStyle name="Percent 13" xfId="297"/>
    <cellStyle name="Percent 13 2" xfId="298"/>
    <cellStyle name="Percent 2" xfId="299"/>
    <cellStyle name="Percent 2 2" xfId="300"/>
    <cellStyle name="Percent 3" xfId="301"/>
    <cellStyle name="Percent 3 2" xfId="302"/>
    <cellStyle name="Percent 4" xfId="303"/>
    <cellStyle name="Percent 4 2" xfId="304"/>
    <cellStyle name="Percent 5" xfId="305"/>
    <cellStyle name="Percent 5 2" xfId="306"/>
    <cellStyle name="Percent 6" xfId="307"/>
    <cellStyle name="Percent 6 2" xfId="308"/>
    <cellStyle name="Percent 7" xfId="309"/>
    <cellStyle name="Percent 7 2" xfId="310"/>
    <cellStyle name="Percent 8" xfId="311"/>
    <cellStyle name="Percent 8 2" xfId="312"/>
    <cellStyle name="Percent 9" xfId="313"/>
    <cellStyle name="Percent 9 2" xfId="314"/>
    <cellStyle name="Percent[0]" xfId="315"/>
    <cellStyle name="Percent[1]" xfId="316"/>
    <cellStyle name="Percent[2]" xfId="317"/>
    <cellStyle name="Percent[3]" xfId="318"/>
    <cellStyle name="Percent1" xfId="319"/>
    <cellStyle name="Percent1Blue" xfId="320"/>
    <cellStyle name="Percent2" xfId="321"/>
    <cellStyle name="Percent2Blue" xfId="322"/>
    <cellStyle name="PercentPresentation" xfId="323"/>
    <cellStyle name="POPS" xfId="324"/>
    <cellStyle name="PrePop Currency (0)" xfId="325"/>
    <cellStyle name="PrePop Currency (2)" xfId="326"/>
    <cellStyle name="PrePop Units (0)" xfId="327"/>
    <cellStyle name="PrePop Units (1)" xfId="328"/>
    <cellStyle name="PrePop Units (2)" xfId="329"/>
    <cellStyle name="PresentationZero" xfId="330"/>
    <cellStyle name="Price" xfId="331"/>
    <cellStyle name="PriceUn" xfId="332"/>
    <cellStyle name="PSChar" xfId="333"/>
    <cellStyle name="PSDate" xfId="334"/>
    <cellStyle name="PSDec" xfId="335"/>
    <cellStyle name="PSHeading" xfId="336"/>
    <cellStyle name="PSInt" xfId="337"/>
    <cellStyle name="PSSpacer" xfId="338"/>
    <cellStyle name="Red" xfId="339"/>
    <cellStyle name="RevList" xfId="340"/>
    <cellStyle name="Salomon Logo" xfId="341"/>
    <cellStyle name="ScotchRule" xfId="342"/>
    <cellStyle name="Shares" xfId="343"/>
    <cellStyle name="Single Accounting" xfId="344"/>
    <cellStyle name="STOCK" xfId="345"/>
    <cellStyle name="Strikethru" xfId="346"/>
    <cellStyle name="Style 1" xfId="347"/>
    <cellStyle name="Style 21" xfId="348"/>
    <cellStyle name="Style 22" xfId="349"/>
    <cellStyle name="Style 23" xfId="350"/>
    <cellStyle name="Style 24" xfId="351"/>
    <cellStyle name="Style 25" xfId="352"/>
    <cellStyle name="Style 26" xfId="353"/>
    <cellStyle name="Style 27" xfId="354"/>
    <cellStyle name="Style 28" xfId="355"/>
    <cellStyle name="Style 29" xfId="356"/>
    <cellStyle name="Style 30" xfId="357"/>
    <cellStyle name="Style 31" xfId="358"/>
    <cellStyle name="Style 31 2" xfId="359"/>
    <cellStyle name="Style 32" xfId="360"/>
    <cellStyle name="Style 33" xfId="361"/>
    <cellStyle name="Style 34" xfId="362"/>
    <cellStyle name="Style 34 2" xfId="363"/>
    <cellStyle name="Style 35" xfId="364"/>
    <cellStyle name="Style 36" xfId="365"/>
    <cellStyle name="Style 37" xfId="366"/>
    <cellStyle name="Style 37 2" xfId="367"/>
    <cellStyle name="Style 38" xfId="368"/>
    <cellStyle name="Style 38 2" xfId="369"/>
    <cellStyle name="Style 39" xfId="370"/>
    <cellStyle name="Style 39 2" xfId="371"/>
    <cellStyle name="Style 40" xfId="372"/>
    <cellStyle name="Style 40 2" xfId="373"/>
    <cellStyle name="Style 41" xfId="374"/>
    <cellStyle name="Style 41 2" xfId="375"/>
    <cellStyle name="Style 42" xfId="376"/>
    <cellStyle name="Style 42 2" xfId="377"/>
    <cellStyle name="Style 43" xfId="378"/>
    <cellStyle name="Style 43 2" xfId="379"/>
    <cellStyle name="Style 44" xfId="380"/>
    <cellStyle name="Style 45" xfId="381"/>
    <cellStyle name="Style 46" xfId="382"/>
    <cellStyle name="Style 47" xfId="383"/>
    <cellStyle name="Style 48" xfId="384"/>
    <cellStyle name="Style 49" xfId="385"/>
    <cellStyle name="Style 50" xfId="386"/>
    <cellStyle name="Style 51" xfId="387"/>
    <cellStyle name="Style 52" xfId="388"/>
    <cellStyle name="Style 53" xfId="389"/>
    <cellStyle name="Style 54" xfId="390"/>
    <cellStyle name="Style 55" xfId="391"/>
    <cellStyle name="Style 56" xfId="392"/>
    <cellStyle name="Style 57" xfId="393"/>
    <cellStyle name="Style 58" xfId="394"/>
    <cellStyle name="Style 59" xfId="395"/>
    <cellStyle name="Style 60" xfId="396"/>
    <cellStyle name="Style 61" xfId="397"/>
    <cellStyle name="Style 62" xfId="398"/>
    <cellStyle name="Style 63" xfId="399"/>
    <cellStyle name="Style 64" xfId="400"/>
    <cellStyle name="Style 65" xfId="401"/>
    <cellStyle name="Style 66" xfId="402"/>
    <cellStyle name="Style 66 2" xfId="403"/>
    <cellStyle name="Style 67" xfId="404"/>
    <cellStyle name="Style 68" xfId="405"/>
    <cellStyle name="Style 69" xfId="406"/>
    <cellStyle name="Style 70" xfId="407"/>
    <cellStyle name="Style 71" xfId="408"/>
    <cellStyle name="Style 72" xfId="409"/>
    <cellStyle name="Style 73" xfId="410"/>
    <cellStyle name="Style 74" xfId="411"/>
    <cellStyle name="Style 75" xfId="412"/>
    <cellStyle name="Style 76" xfId="413"/>
    <cellStyle name="Style 77" xfId="414"/>
    <cellStyle name="Style 78" xfId="415"/>
    <cellStyle name="Style 79" xfId="416"/>
    <cellStyle name="Style 80" xfId="417"/>
    <cellStyle name="Style 81" xfId="418"/>
    <cellStyle name="Style 82" xfId="419"/>
    <cellStyle name="Style 83" xfId="420"/>
    <cellStyle name="Style 84" xfId="421"/>
    <cellStyle name="Style 85" xfId="422"/>
    <cellStyle name="Style 85 2" xfId="423"/>
    <cellStyle name="Style 86" xfId="424"/>
    <cellStyle name="Style 86 2" xfId="425"/>
    <cellStyle name="Style 87" xfId="426"/>
    <cellStyle name="Style 87 2" xfId="427"/>
    <cellStyle name="Style 88" xfId="428"/>
    <cellStyle name="Style 88 2" xfId="429"/>
    <cellStyle name="Style 89" xfId="430"/>
    <cellStyle name="Style 89 2" xfId="431"/>
    <cellStyle name="Style 90" xfId="432"/>
    <cellStyle name="Style 90 2" xfId="433"/>
    <cellStyle name="Subtitle" xfId="434"/>
    <cellStyle name="Subtotal" xfId="435"/>
    <cellStyle name="Table Head" xfId="436"/>
    <cellStyle name="Table Head Aligned" xfId="437"/>
    <cellStyle name="Table Head Blue" xfId="438"/>
    <cellStyle name="Table Head Green" xfId="439"/>
    <cellStyle name="Table Head_Val_Sum_Graph" xfId="440"/>
    <cellStyle name="Table Text" xfId="441"/>
    <cellStyle name="Table Title" xfId="442"/>
    <cellStyle name="Table Units" xfId="443"/>
    <cellStyle name="Table_Header" xfId="444"/>
    <cellStyle name="taples Plaza" xfId="445"/>
    <cellStyle name="Text 1" xfId="446"/>
    <cellStyle name="Text 8" xfId="447"/>
    <cellStyle name="Text Head 1" xfId="448"/>
    <cellStyle name="Text Indent A" xfId="449"/>
    <cellStyle name="Text Indent B" xfId="450"/>
    <cellStyle name="Text Indent C" xfId="451"/>
    <cellStyle name="Thick Border" xfId="452"/>
    <cellStyle name="Thin Border" xfId="453"/>
    <cellStyle name="Times 10" xfId="454"/>
    <cellStyle name="Times 12" xfId="455"/>
    <cellStyle name="Times New Roman" xfId="456"/>
    <cellStyle name="Title" xfId="457"/>
    <cellStyle name="Title10" xfId="458"/>
    <cellStyle name="Title2" xfId="459"/>
    <cellStyle name="Title8" xfId="460"/>
    <cellStyle name="Title8Left" xfId="461"/>
    <cellStyle name="TitleCenter" xfId="462"/>
    <cellStyle name="TitleII" xfId="463"/>
    <cellStyle name="TitleLeft" xfId="464"/>
    <cellStyle name="topline" xfId="465"/>
    <cellStyle name="Total" xfId="466"/>
    <cellStyle name="Total 10" xfId="467"/>
    <cellStyle name="Total 10 2" xfId="468"/>
    <cellStyle name="Total 11" xfId="469"/>
    <cellStyle name="Total 11 2" xfId="470"/>
    <cellStyle name="Total 12" xfId="471"/>
    <cellStyle name="Total 12 2" xfId="472"/>
    <cellStyle name="Total 13" xfId="473"/>
    <cellStyle name="Total 13 2" xfId="474"/>
    <cellStyle name="Total 14" xfId="475"/>
    <cellStyle name="Total 14 2" xfId="476"/>
    <cellStyle name="Total 2" xfId="477"/>
    <cellStyle name="Total 2 2" xfId="478"/>
    <cellStyle name="Total 3" xfId="479"/>
    <cellStyle name="Total 3 2" xfId="480"/>
    <cellStyle name="Total 4" xfId="481"/>
    <cellStyle name="Total 4 2" xfId="482"/>
    <cellStyle name="Total 5" xfId="483"/>
    <cellStyle name="Total 5 2" xfId="484"/>
    <cellStyle name="Total 6" xfId="485"/>
    <cellStyle name="Total 6 2" xfId="486"/>
    <cellStyle name="Total 7" xfId="487"/>
    <cellStyle name="Total 7 2" xfId="488"/>
    <cellStyle name="Total 8" xfId="489"/>
    <cellStyle name="Total 8 2" xfId="490"/>
    <cellStyle name="Total 9" xfId="491"/>
    <cellStyle name="Total 9 2" xfId="492"/>
    <cellStyle name="TransVal" xfId="493"/>
    <cellStyle name="Underline_Single" xfId="494"/>
    <cellStyle name="Unprot" xfId="495"/>
    <cellStyle name="Unprot 2" xfId="496"/>
    <cellStyle name="Unprot_Copy of TEPCC model26 mc3" xfId="497"/>
    <cellStyle name="Unprot$" xfId="498"/>
    <cellStyle name="Unprotect" xfId="499"/>
    <cellStyle name="Warning Text" xfId="500"/>
    <cellStyle name="WholeNumber" xfId="501"/>
    <cellStyle name="year" xfId="502"/>
    <cellStyle name="Yen" xfId="503"/>
    <cellStyle name="Yes No" xfId="504"/>
    <cellStyle name="桁区切り [0.00]_PERSONAL" xfId="505"/>
    <cellStyle name="桁区切り_PERSONAL" xfId="506"/>
    <cellStyle name="標準_PERSONAL" xfId="507"/>
    <cellStyle name="通貨 [0.00]_PERSONAL" xfId="508"/>
    <cellStyle name="通貨_PERSONAL" xfId="509"/>
  </cellStyles>
  <dxfs count="3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externalLink" Target="externalLinks/externalLink33.xml" /><Relationship Id="rId47" Type="http://schemas.openxmlformats.org/officeDocument/2006/relationships/externalLink" Target="externalLinks/externalLink34.xml" /><Relationship Id="rId48" Type="http://schemas.openxmlformats.org/officeDocument/2006/relationships/externalLink" Target="externalLinks/externalLink35.xml" /><Relationship Id="rId49" Type="http://schemas.openxmlformats.org/officeDocument/2006/relationships/externalLink" Target="externalLinks/externalLink36.xml" /><Relationship Id="rId50" Type="http://schemas.openxmlformats.org/officeDocument/2006/relationships/externalLink" Target="externalLinks/externalLink37.xml" /><Relationship Id="rId51" Type="http://schemas.openxmlformats.org/officeDocument/2006/relationships/externalLink" Target="externalLinks/externalLink38.xml" /><Relationship Id="rId52" Type="http://schemas.openxmlformats.org/officeDocument/2006/relationships/externalLink" Target="externalLinks/externalLink39.xml" /><Relationship Id="rId53" Type="http://schemas.openxmlformats.org/officeDocument/2006/relationships/externalLink" Target="externalLinks/externalLink40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Unit Price Projections for Solar PV Installation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315"/>
          <c:w val="0.7045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Dashboard!$K$11</c:f>
              <c:strCache>
                <c:ptCount val="1"/>
                <c:pt idx="0">
                  <c:v>Grid Price ($/kWh)2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Dashboard!$K$12:$K$31</c:f>
              <c:numCache/>
            </c:numRef>
          </c:val>
          <c:smooth val="0"/>
        </c:ser>
        <c:ser>
          <c:idx val="1"/>
          <c:order val="1"/>
          <c:tx>
            <c:strRef>
              <c:f>Dashboard!$L$11</c:f>
              <c:strCache>
                <c:ptCount val="1"/>
                <c:pt idx="0">
                  <c:v>Purchase ($/kWh)3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Dashboard!$L$12:$L$31</c:f>
              <c:numCache/>
            </c:numRef>
          </c:val>
          <c:smooth val="0"/>
        </c:ser>
        <c:ser>
          <c:idx val="2"/>
          <c:order val="2"/>
          <c:tx>
            <c:strRef>
              <c:f>Dashboard!$M$11</c:f>
              <c:strCache>
                <c:ptCount val="1"/>
                <c:pt idx="0">
                  <c:v>Lease ($/kWh)4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Dashboard!$M$12:$M$31</c:f>
              <c:numCache/>
            </c:numRef>
          </c:val>
          <c:smooth val="0"/>
        </c:ser>
        <c:ser>
          <c:idx val="3"/>
          <c:order val="3"/>
          <c:tx>
            <c:strRef>
              <c:f>Dashboard!$N$11</c:f>
              <c:strCache>
                <c:ptCount val="1"/>
                <c:pt idx="0">
                  <c:v>PPA ($/kWh)5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Dashboard!$N$12:$N$31</c:f>
              <c:numCache/>
            </c:numRef>
          </c:val>
          <c:smooth val="0"/>
        </c:ser>
        <c:marker val="1"/>
        <c:axId val="40528714"/>
        <c:axId val="29214107"/>
      </c:lineChart>
      <c:catAx>
        <c:axId val="4052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29214107"/>
        <c:crosses val="autoZero"/>
        <c:auto val="1"/>
        <c:lblOffset val="100"/>
        <c:tickLblSkip val="1"/>
        <c:noMultiLvlLbl val="0"/>
      </c:catAx>
      <c:valAx>
        <c:axId val="29214107"/>
        <c:scaling>
          <c:orientation val="minMax"/>
          <c:min val="0.055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$/kWh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40528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75"/>
          <c:y val="0.88375"/>
          <c:w val="0.795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and Cumulative Cash Flows</a:t>
            </a:r>
          </a:p>
        </c:rich>
      </c:tx>
      <c:layout>
        <c:manualLayout>
          <c:xMode val="factor"/>
          <c:yMode val="factor"/>
          <c:x val="0.040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4325"/>
          <c:w val="0.85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Purchase!$C$31:$AB$31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PPA!$C$57:$W$57</c:f>
              <c:numCache>
                <c:ptCount val="21"/>
                <c:pt idx="0">
                  <c:v>-958571.7672413792</c:v>
                </c:pt>
                <c:pt idx="1">
                  <c:v>540096.3586494183</c:v>
                </c:pt>
                <c:pt idx="2">
                  <c:v>217083.48134490344</c:v>
                </c:pt>
                <c:pt idx="3">
                  <c:v>141433.5039780055</c:v>
                </c:pt>
                <c:pt idx="4">
                  <c:v>95626.32165340114</c:v>
                </c:pt>
                <c:pt idx="5">
                  <c:v>94600.94858147392</c:v>
                </c:pt>
                <c:pt idx="6">
                  <c:v>-11861.292002866307</c:v>
                </c:pt>
                <c:pt idx="7">
                  <c:v>-46092.23019076027</c:v>
                </c:pt>
                <c:pt idx="8">
                  <c:v>-46757.96141921406</c:v>
                </c:pt>
                <c:pt idx="9">
                  <c:v>-47478.76813912421</c:v>
                </c:pt>
                <c:pt idx="10">
                  <c:v>-48257.446536498996</c:v>
                </c:pt>
                <c:pt idx="11">
                  <c:v>-54615.99953494171</c:v>
                </c:pt>
                <c:pt idx="12">
                  <c:v>-55519.44773657936</c:v>
                </c:pt>
                <c:pt idx="13">
                  <c:v>-56490.13660138348</c:v>
                </c:pt>
                <c:pt idx="14">
                  <c:v>-57531.548518412004</c:v>
                </c:pt>
                <c:pt idx="15">
                  <c:v>-58647.3633382618</c:v>
                </c:pt>
                <c:pt idx="16">
                  <c:v>-59841.46998983357</c:v>
                </c:pt>
                <c:pt idx="17">
                  <c:v>-61117.97878948005</c:v>
                </c:pt>
                <c:pt idx="18">
                  <c:v>-62481.2344839884</c:v>
                </c:pt>
                <c:pt idx="19">
                  <c:v>-63935.830071332515</c:v>
                </c:pt>
                <c:pt idx="20">
                  <c:v>-65486.62144576504</c:v>
                </c:pt>
              </c:numCache>
            </c:numRef>
          </c:val>
        </c:ser>
        <c:axId val="3738692"/>
        <c:axId val="33648229"/>
      </c:barChart>
      <c:lineChart>
        <c:grouping val="standard"/>
        <c:varyColors val="0"/>
        <c:ser>
          <c:idx val="1"/>
          <c:order val="1"/>
          <c:tx>
            <c:v>Cumulative Payback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3738692"/>
        <c:axId val="33648229"/>
      </c:lineChart>
      <c:catAx>
        <c:axId val="373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48229"/>
        <c:crosses val="autoZero"/>
        <c:auto val="1"/>
        <c:lblOffset val="100"/>
        <c:tickLblSkip val="1"/>
        <c:noMultiLvlLbl val="0"/>
      </c:catAx>
      <c:valAx>
        <c:axId val="33648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Cash Flow ($)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6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and Cumulative Cash Flows</a:t>
            </a:r>
          </a:p>
        </c:rich>
      </c:tx>
      <c:layout>
        <c:manualLayout>
          <c:xMode val="factor"/>
          <c:yMode val="factor"/>
          <c:x val="0.042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142"/>
          <c:w val="0.85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Purchase!$C$31:$AB$31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Lease!$C$57:$W$57</c:f>
              <c:numCache/>
            </c:numRef>
          </c:val>
        </c:ser>
        <c:axId val="34398606"/>
        <c:axId val="41151999"/>
      </c:barChart>
      <c:lineChart>
        <c:grouping val="standard"/>
        <c:varyColors val="0"/>
        <c:ser>
          <c:idx val="1"/>
          <c:order val="1"/>
          <c:tx>
            <c:v>Cumulative Payback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Lease!$C$160:$W$160</c:f>
              <c:numCache/>
            </c:numRef>
          </c:val>
          <c:smooth val="0"/>
        </c:ser>
        <c:axId val="34398606"/>
        <c:axId val="41151999"/>
      </c:lineChart>
      <c:catAx>
        <c:axId val="3439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51999"/>
        <c:crosses val="autoZero"/>
        <c:auto val="1"/>
        <c:lblOffset val="100"/>
        <c:tickLblSkip val="1"/>
        <c:noMultiLvlLbl val="0"/>
      </c:catAx>
      <c:valAx>
        <c:axId val="4115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Cash Flow ($)</a:t>
                </a:r>
              </a:p>
            </c:rich>
          </c:tx>
          <c:layout>
            <c:manualLayout>
              <c:xMode val="factor"/>
              <c:yMode val="factor"/>
              <c:x val="-0.048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98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Unit Price Projections for Solar PV Installation</a:t>
            </a:r>
          </a:p>
        </c:rich>
      </c:tx>
      <c:layout>
        <c:manualLayout>
          <c:xMode val="factor"/>
          <c:yMode val="factor"/>
          <c:x val="-0.001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095"/>
          <c:w val="0.7037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Dashboard!$K$11</c:f>
              <c:strCache>
                <c:ptCount val="1"/>
                <c:pt idx="0">
                  <c:v>Grid Price ($/kWh)2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Dashboard!$K$12:$K$31</c:f>
              <c:numCache/>
            </c:numRef>
          </c:val>
          <c:smooth val="0"/>
        </c:ser>
        <c:ser>
          <c:idx val="2"/>
          <c:order val="1"/>
          <c:tx>
            <c:strRef>
              <c:f>Dashboard!$M$11</c:f>
              <c:strCache>
                <c:ptCount val="1"/>
                <c:pt idx="0">
                  <c:v>Lease ($/kWh)4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Dashboard!$M$12:$M$31</c:f>
              <c:numCache/>
            </c:numRef>
          </c:val>
          <c:smooth val="0"/>
        </c:ser>
        <c:ser>
          <c:idx val="3"/>
          <c:order val="2"/>
          <c:tx>
            <c:strRef>
              <c:f>Dashboard!$N$11</c:f>
              <c:strCache>
                <c:ptCount val="1"/>
                <c:pt idx="0">
                  <c:v>PPA ($/kWh)5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Dashboard!$N$12:$N$31</c:f>
              <c:numCache/>
            </c:numRef>
          </c:val>
          <c:smooth val="0"/>
        </c:ser>
        <c:marker val="1"/>
        <c:axId val="61600372"/>
        <c:axId val="17532437"/>
      </c:lineChart>
      <c:catAx>
        <c:axId val="61600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17532437"/>
        <c:crosses val="autoZero"/>
        <c:auto val="1"/>
        <c:lblOffset val="100"/>
        <c:tickLblSkip val="1"/>
        <c:noMultiLvlLbl val="0"/>
      </c:catAx>
      <c:valAx>
        <c:axId val="17532437"/>
        <c:scaling>
          <c:orientation val="minMax"/>
          <c:min val="0.055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$/kWh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61600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25"/>
          <c:y val="0.90375"/>
          <c:w val="0.60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and Cumulative Cash Flows</a:t>
            </a:r>
          </a:p>
        </c:rich>
      </c:tx>
      <c:layout>
        <c:manualLayout>
          <c:xMode val="factor"/>
          <c:yMode val="factor"/>
          <c:x val="0.0407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675"/>
          <c:w val="0.8567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Purchase!$C$31:$AB$31</c:f>
              <c:numCache/>
            </c:numRef>
          </c:cat>
          <c:val>
            <c:numRef>
              <c:f>Purchase!$C$57:$W$57</c:f>
              <c:numCache/>
            </c:numRef>
          </c:val>
        </c:ser>
        <c:axId val="23574206"/>
        <c:axId val="10841263"/>
      </c:barChart>
      <c:lineChart>
        <c:grouping val="standard"/>
        <c:varyColors val="0"/>
        <c:ser>
          <c:idx val="1"/>
          <c:order val="1"/>
          <c:tx>
            <c:v>Cumulative Payback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Purchase!$C$159:$W$159</c:f>
              <c:numCache/>
            </c:numRef>
          </c:val>
          <c:smooth val="0"/>
        </c:ser>
        <c:axId val="23574206"/>
        <c:axId val="10841263"/>
      </c:lineChart>
      <c:catAx>
        <c:axId val="23574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1263"/>
        <c:crosses val="autoZero"/>
        <c:auto val="1"/>
        <c:lblOffset val="100"/>
        <c:tickLblSkip val="1"/>
        <c:noMultiLvlLbl val="0"/>
      </c:catAx>
      <c:valAx>
        <c:axId val="10841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Cash Flow ($)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42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"/>
          <c:y val="0.1375"/>
          <c:w val="0.812"/>
          <c:h val="0.86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Purchase!$D$35:$W$35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Purchase!$D$93:$W$93</c:f>
              <c:numCache/>
            </c:numRef>
          </c:val>
          <c:smooth val="0"/>
        </c:ser>
        <c:marker val="1"/>
        <c:axId val="30462504"/>
        <c:axId val="5727081"/>
      </c:lineChart>
      <c:catAx>
        <c:axId val="30462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27081"/>
        <c:crosses val="autoZero"/>
        <c:auto val="1"/>
        <c:lblOffset val="100"/>
        <c:tickLblSkip val="1"/>
        <c:noMultiLvlLbl val="0"/>
      </c:catAx>
      <c:valAx>
        <c:axId val="5727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462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2"/>
          <c:y val="0.87125"/>
          <c:w val="0.2857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and Cumulative Cash Flows</a:t>
            </a:r>
          </a:p>
        </c:rich>
      </c:tx>
      <c:layout>
        <c:manualLayout>
          <c:xMode val="factor"/>
          <c:yMode val="factor"/>
          <c:x val="0.040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25"/>
          <c:w val="0.854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Purchase!$C$31:$AB$31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PPA!$C$57:$W$57</c:f>
              <c:numCache/>
            </c:numRef>
          </c:val>
        </c:ser>
        <c:axId val="51543730"/>
        <c:axId val="61240387"/>
      </c:barChart>
      <c:lineChart>
        <c:grouping val="standard"/>
        <c:varyColors val="0"/>
        <c:ser>
          <c:idx val="1"/>
          <c:order val="1"/>
          <c:tx>
            <c:v>Cumulative Payback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PPA!#REF!</c:f>
            </c:numRef>
          </c:val>
          <c:smooth val="0"/>
        </c:ser>
        <c:axId val="51543730"/>
        <c:axId val="61240387"/>
      </c:lineChart>
      <c:catAx>
        <c:axId val="51543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0387"/>
        <c:crosses val="autoZero"/>
        <c:auto val="1"/>
        <c:lblOffset val="100"/>
        <c:tickLblSkip val="1"/>
        <c:noMultiLvlLbl val="0"/>
      </c:catAx>
      <c:valAx>
        <c:axId val="61240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Cash Flow ($)</a:t>
                </a:r>
              </a:p>
            </c:rich>
          </c:tx>
          <c:layout>
            <c:manualLayout>
              <c:xMode val="factor"/>
              <c:yMode val="factor"/>
              <c:x val="-0.047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37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and Cumulative Cash Flows</a:t>
            </a:r>
          </a:p>
        </c:rich>
      </c:tx>
      <c:layout>
        <c:manualLayout>
          <c:xMode val="factor"/>
          <c:yMode val="factor"/>
          <c:x val="0.042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142"/>
          <c:w val="0.8557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Purchase!$C$31:$AB$31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Lease!$C$57:$W$57</c:f>
              <c:numCache>
                <c:ptCount val="21"/>
                <c:pt idx="0">
                  <c:v>-958571.7672413792</c:v>
                </c:pt>
                <c:pt idx="1">
                  <c:v>544688.5936288494</c:v>
                </c:pt>
                <c:pt idx="2">
                  <c:v>221763.15467874365</c:v>
                </c:pt>
                <c:pt idx="3">
                  <c:v>146214.02401961794</c:v>
                </c:pt>
                <c:pt idx="4">
                  <c:v>100522.22773943447</c:v>
                </c:pt>
                <c:pt idx="5">
                  <c:v>99627.99195014313</c:v>
                </c:pt>
                <c:pt idx="6">
                  <c:v>-6686.061916031358</c:v>
                </c:pt>
                <c:pt idx="7">
                  <c:v>-40750.37373615506</c:v>
                </c:pt>
                <c:pt idx="8">
                  <c:v>-41229.55063039725</c:v>
                </c:pt>
                <c:pt idx="9">
                  <c:v>-41742.28215629293</c:v>
                </c:pt>
                <c:pt idx="10">
                  <c:v>-42289.66014427222</c:v>
                </c:pt>
                <c:pt idx="11">
                  <c:v>-48391.864376865946</c:v>
                </c:pt>
                <c:pt idx="12">
                  <c:v>-49011.9657415383</c:v>
                </c:pt>
                <c:pt idx="13">
                  <c:v>-49670.22512818725</c:v>
                </c:pt>
                <c:pt idx="14">
                  <c:v>-50367.89669416042</c:v>
                </c:pt>
                <c:pt idx="15">
                  <c:v>-51106.27903351227</c:v>
                </c:pt>
                <c:pt idx="16">
                  <c:v>-51886.71683904176</c:v>
                </c:pt>
                <c:pt idx="17">
                  <c:v>-52710.602628500375</c:v>
                </c:pt>
                <c:pt idx="18">
                  <c:v>-53579.37853749125</c:v>
                </c:pt>
                <c:pt idx="19">
                  <c:v>-54494.53818167973</c:v>
                </c:pt>
                <c:pt idx="20">
                  <c:v>-55457.62859103992</c:v>
                </c:pt>
              </c:numCache>
            </c:numRef>
          </c:val>
        </c:ser>
        <c:axId val="14292572"/>
        <c:axId val="61524285"/>
      </c:barChart>
      <c:lineChart>
        <c:grouping val="standard"/>
        <c:varyColors val="0"/>
        <c:ser>
          <c:idx val="1"/>
          <c:order val="1"/>
          <c:tx>
            <c:v>Cumulative Payback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Lease!$C$160:$W$160</c:f>
              <c:numCache>
                <c:ptCount val="21"/>
              </c:numCache>
            </c:numRef>
          </c:val>
          <c:smooth val="0"/>
        </c:ser>
        <c:axId val="14292572"/>
        <c:axId val="61524285"/>
      </c:lineChart>
      <c:catAx>
        <c:axId val="14292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4285"/>
        <c:crosses val="autoZero"/>
        <c:auto val="1"/>
        <c:lblOffset val="100"/>
        <c:tickLblSkip val="1"/>
        <c:noMultiLvlLbl val="0"/>
      </c:catAx>
      <c:valAx>
        <c:axId val="61524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Cash Flow ($)</a:t>
                </a:r>
              </a:p>
            </c:rich>
          </c:tx>
          <c:layout>
            <c:manualLayout>
              <c:xMode val="factor"/>
              <c:yMode val="factor"/>
              <c:x val="-0.048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92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and Cumulative Cash Flows</a:t>
            </a:r>
          </a:p>
        </c:rich>
      </c:tx>
      <c:layout>
        <c:manualLayout>
          <c:xMode val="factor"/>
          <c:yMode val="factor"/>
          <c:x val="0.042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"/>
          <c:w val="0.85475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Purchase!$C$31:$AB$31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Lease!$C$57:$W$57</c:f>
              <c:numCache/>
            </c:numRef>
          </c:val>
        </c:ser>
        <c:axId val="16847654"/>
        <c:axId val="17411159"/>
      </c:barChart>
      <c:lineChart>
        <c:grouping val="standard"/>
        <c:varyColors val="0"/>
        <c:ser>
          <c:idx val="1"/>
          <c:order val="1"/>
          <c:tx>
            <c:v>Cumulative Payback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Lease!$C$160:$W$160</c:f>
              <c:numCache/>
            </c:numRef>
          </c:val>
          <c:smooth val="0"/>
        </c:ser>
        <c:axId val="16847654"/>
        <c:axId val="17411159"/>
      </c:lineChart>
      <c:catAx>
        <c:axId val="16847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11159"/>
        <c:crosses val="autoZero"/>
        <c:auto val="1"/>
        <c:lblOffset val="100"/>
        <c:tickLblSkip val="1"/>
        <c:noMultiLvlLbl val="0"/>
      </c:catAx>
      <c:valAx>
        <c:axId val="17411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Cash Flow ($)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76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and Cumulative Cash Flows</a:t>
            </a:r>
          </a:p>
        </c:rich>
      </c:tx>
      <c:layout>
        <c:manualLayout>
          <c:xMode val="factor"/>
          <c:yMode val="factor"/>
          <c:x val="0.040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14325"/>
          <c:w val="0.85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Purchase!$C$31:$AB$31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PPA!$C$57:$W$57</c:f>
              <c:numCache>
                <c:ptCount val="21"/>
                <c:pt idx="0">
                  <c:v>-958571.7672413792</c:v>
                </c:pt>
                <c:pt idx="1">
                  <c:v>540096.3586494183</c:v>
                </c:pt>
                <c:pt idx="2">
                  <c:v>217083.48134490344</c:v>
                </c:pt>
                <c:pt idx="3">
                  <c:v>141433.5039780055</c:v>
                </c:pt>
                <c:pt idx="4">
                  <c:v>95626.32165340114</c:v>
                </c:pt>
                <c:pt idx="5">
                  <c:v>94600.94858147392</c:v>
                </c:pt>
                <c:pt idx="6">
                  <c:v>-11861.292002866307</c:v>
                </c:pt>
                <c:pt idx="7">
                  <c:v>-46092.23019076027</c:v>
                </c:pt>
                <c:pt idx="8">
                  <c:v>-46757.96141921406</c:v>
                </c:pt>
                <c:pt idx="9">
                  <c:v>-47478.76813912421</c:v>
                </c:pt>
                <c:pt idx="10">
                  <c:v>-48257.446536498996</c:v>
                </c:pt>
                <c:pt idx="11">
                  <c:v>-54615.99953494171</c:v>
                </c:pt>
                <c:pt idx="12">
                  <c:v>-55519.44773657936</c:v>
                </c:pt>
                <c:pt idx="13">
                  <c:v>-56490.13660138348</c:v>
                </c:pt>
                <c:pt idx="14">
                  <c:v>-57531.548518412004</c:v>
                </c:pt>
                <c:pt idx="15">
                  <c:v>-58647.3633382618</c:v>
                </c:pt>
                <c:pt idx="16">
                  <c:v>-59841.46998983357</c:v>
                </c:pt>
                <c:pt idx="17">
                  <c:v>-61117.97878948005</c:v>
                </c:pt>
                <c:pt idx="18">
                  <c:v>-62481.2344839884</c:v>
                </c:pt>
                <c:pt idx="19">
                  <c:v>-63935.830071332515</c:v>
                </c:pt>
                <c:pt idx="20">
                  <c:v>-65486.62144576504</c:v>
                </c:pt>
              </c:numCache>
            </c:numRef>
          </c:val>
        </c:ser>
        <c:axId val="22482704"/>
        <c:axId val="1017745"/>
      </c:barChart>
      <c:lineChart>
        <c:grouping val="standard"/>
        <c:varyColors val="0"/>
        <c:ser>
          <c:idx val="1"/>
          <c:order val="1"/>
          <c:tx>
            <c:v>Cumulative Payback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22482704"/>
        <c:axId val="1017745"/>
      </c:lineChart>
      <c:catAx>
        <c:axId val="2248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7745"/>
        <c:crosses val="autoZero"/>
        <c:auto val="1"/>
        <c:lblOffset val="100"/>
        <c:tickLblSkip val="1"/>
        <c:noMultiLvlLbl val="0"/>
      </c:catAx>
      <c:valAx>
        <c:axId val="1017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Cash Flow ($)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82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and Cumulative Cash Flows</a:t>
            </a:r>
          </a:p>
        </c:rich>
      </c:tx>
      <c:layout>
        <c:manualLayout>
          <c:xMode val="factor"/>
          <c:yMode val="factor"/>
          <c:x val="0.042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142"/>
          <c:w val="0.85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Purchase!$C$31:$AB$31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Lease!$C$57:$W$57</c:f>
              <c:numCache/>
            </c:numRef>
          </c:val>
        </c:ser>
        <c:axId val="9159706"/>
        <c:axId val="15328491"/>
      </c:barChart>
      <c:lineChart>
        <c:grouping val="standard"/>
        <c:varyColors val="0"/>
        <c:ser>
          <c:idx val="1"/>
          <c:order val="1"/>
          <c:tx>
            <c:v>Cumulative Payback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Lease!$C$160:$W$160</c:f>
              <c:numCache/>
            </c:numRef>
          </c:val>
          <c:smooth val="0"/>
        </c:ser>
        <c:axId val="9159706"/>
        <c:axId val="15328491"/>
      </c:lineChart>
      <c:catAx>
        <c:axId val="9159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8491"/>
        <c:crosses val="autoZero"/>
        <c:auto val="1"/>
        <c:lblOffset val="100"/>
        <c:tickLblSkip val="1"/>
        <c:noMultiLvlLbl val="0"/>
      </c:catAx>
      <c:valAx>
        <c:axId val="1532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Cash Flow ($)</a:t>
                </a:r>
              </a:p>
            </c:rich>
          </c:tx>
          <c:layout>
            <c:manualLayout>
              <c:xMode val="factor"/>
              <c:yMode val="factor"/>
              <c:x val="-0.048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597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4</xdr:row>
      <xdr:rowOff>161925</xdr:rowOff>
    </xdr:from>
    <xdr:to>
      <xdr:col>4</xdr:col>
      <xdr:colOff>533400</xdr:colOff>
      <xdr:row>13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2438400" y="857250"/>
          <a:ext cx="2371725" cy="1400175"/>
          <a:chOff x="478861" y="4279847"/>
          <a:chExt cx="2719159" cy="1317339"/>
        </a:xfrm>
        <a:solidFill>
          <a:srgbClr val="FFFFFF"/>
        </a:solidFill>
      </xdr:grpSpPr>
      <xdr:pic>
        <xdr:nvPicPr>
          <xdr:cNvPr id="2" name="Picture 1" descr="PBS Horizontal Color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9362" y="4935223"/>
            <a:ext cx="2597477" cy="6619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8861" y="4279847"/>
            <a:ext cx="2719159" cy="5068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14</xdr:row>
      <xdr:rowOff>0</xdr:rowOff>
    </xdr:from>
    <xdr:to>
      <xdr:col>8</xdr:col>
      <xdr:colOff>447675</xdr:colOff>
      <xdr:row>33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381250"/>
          <a:ext cx="49530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5</xdr:row>
      <xdr:rowOff>0</xdr:rowOff>
    </xdr:from>
    <xdr:to>
      <xdr:col>22</xdr:col>
      <xdr:colOff>333375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1687175" y="847725"/>
        <a:ext cx="66865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371475</xdr:colOff>
      <xdr:row>28</xdr:row>
      <xdr:rowOff>9525</xdr:rowOff>
    </xdr:from>
    <xdr:to>
      <xdr:col>22</xdr:col>
      <xdr:colOff>447675</xdr:colOff>
      <xdr:row>46</xdr:row>
      <xdr:rowOff>38100</xdr:rowOff>
    </xdr:to>
    <xdr:graphicFrame>
      <xdr:nvGraphicFramePr>
        <xdr:cNvPr id="2" name="Chart 2"/>
        <xdr:cNvGraphicFramePr/>
      </xdr:nvGraphicFramePr>
      <xdr:xfrm>
        <a:off x="11820525" y="4419600"/>
        <a:ext cx="6667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20</xdr:col>
      <xdr:colOff>200025</xdr:colOff>
      <xdr:row>29</xdr:row>
      <xdr:rowOff>9525</xdr:rowOff>
    </xdr:to>
    <xdr:graphicFrame>
      <xdr:nvGraphicFramePr>
        <xdr:cNvPr id="1" name="Chart 37"/>
        <xdr:cNvGraphicFramePr/>
      </xdr:nvGraphicFramePr>
      <xdr:xfrm>
        <a:off x="14954250" y="1485900"/>
        <a:ext cx="63150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457200</xdr:colOff>
      <xdr:row>33</xdr:row>
      <xdr:rowOff>9525</xdr:rowOff>
    </xdr:from>
    <xdr:to>
      <xdr:col>29</xdr:col>
      <xdr:colOff>1000125</xdr:colOff>
      <xdr:row>50</xdr:row>
      <xdr:rowOff>76200</xdr:rowOff>
    </xdr:to>
    <xdr:graphicFrame>
      <xdr:nvGraphicFramePr>
        <xdr:cNvPr id="2" name="Chart 1"/>
        <xdr:cNvGraphicFramePr/>
      </xdr:nvGraphicFramePr>
      <xdr:xfrm>
        <a:off x="26603325" y="5200650"/>
        <a:ext cx="45815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9</xdr:row>
      <xdr:rowOff>0</xdr:rowOff>
    </xdr:from>
    <xdr:to>
      <xdr:col>20</xdr:col>
      <xdr:colOff>209550</xdr:colOff>
      <xdr:row>28</xdr:row>
      <xdr:rowOff>76200</xdr:rowOff>
    </xdr:to>
    <xdr:graphicFrame>
      <xdr:nvGraphicFramePr>
        <xdr:cNvPr id="1" name="Chart 37"/>
        <xdr:cNvGraphicFramePr/>
      </xdr:nvGraphicFramePr>
      <xdr:xfrm>
        <a:off x="14954250" y="1485900"/>
        <a:ext cx="6324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857250</xdr:colOff>
      <xdr:row>9</xdr:row>
      <xdr:rowOff>9525</xdr:rowOff>
    </xdr:from>
    <xdr:to>
      <xdr:col>20</xdr:col>
      <xdr:colOff>9525</xdr:colOff>
      <xdr:row>28</xdr:row>
      <xdr:rowOff>9525</xdr:rowOff>
    </xdr:to>
    <xdr:graphicFrame>
      <xdr:nvGraphicFramePr>
        <xdr:cNvPr id="2" name="Chart 37"/>
        <xdr:cNvGraphicFramePr/>
      </xdr:nvGraphicFramePr>
      <xdr:xfrm>
        <a:off x="14792325" y="1495425"/>
        <a:ext cx="62865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857250</xdr:colOff>
      <xdr:row>9</xdr:row>
      <xdr:rowOff>9525</xdr:rowOff>
    </xdr:from>
    <xdr:to>
      <xdr:col>20</xdr:col>
      <xdr:colOff>9525</xdr:colOff>
      <xdr:row>28</xdr:row>
      <xdr:rowOff>9525</xdr:rowOff>
    </xdr:to>
    <xdr:graphicFrame>
      <xdr:nvGraphicFramePr>
        <xdr:cNvPr id="1" name="Chart 37"/>
        <xdr:cNvGraphicFramePr/>
      </xdr:nvGraphicFramePr>
      <xdr:xfrm>
        <a:off x="14792325" y="1495425"/>
        <a:ext cx="62865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9</xdr:row>
      <xdr:rowOff>0</xdr:rowOff>
    </xdr:from>
    <xdr:to>
      <xdr:col>20</xdr:col>
      <xdr:colOff>209550</xdr:colOff>
      <xdr:row>28</xdr:row>
      <xdr:rowOff>76200</xdr:rowOff>
    </xdr:to>
    <xdr:graphicFrame>
      <xdr:nvGraphicFramePr>
        <xdr:cNvPr id="2" name="Chart 37"/>
        <xdr:cNvGraphicFramePr/>
      </xdr:nvGraphicFramePr>
      <xdr:xfrm>
        <a:off x="14954250" y="1485900"/>
        <a:ext cx="63246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857250</xdr:colOff>
      <xdr:row>9</xdr:row>
      <xdr:rowOff>9525</xdr:rowOff>
    </xdr:from>
    <xdr:to>
      <xdr:col>20</xdr:col>
      <xdr:colOff>9525</xdr:colOff>
      <xdr:row>28</xdr:row>
      <xdr:rowOff>9525</xdr:rowOff>
    </xdr:to>
    <xdr:graphicFrame>
      <xdr:nvGraphicFramePr>
        <xdr:cNvPr id="3" name="Chart 37"/>
        <xdr:cNvGraphicFramePr/>
      </xdr:nvGraphicFramePr>
      <xdr:xfrm>
        <a:off x="14792325" y="1495425"/>
        <a:ext cx="62865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9</xdr:row>
      <xdr:rowOff>0</xdr:rowOff>
    </xdr:from>
    <xdr:to>
      <xdr:col>20</xdr:col>
      <xdr:colOff>209550</xdr:colOff>
      <xdr:row>28</xdr:row>
      <xdr:rowOff>76200</xdr:rowOff>
    </xdr:to>
    <xdr:graphicFrame>
      <xdr:nvGraphicFramePr>
        <xdr:cNvPr id="4" name="Chart 37"/>
        <xdr:cNvGraphicFramePr/>
      </xdr:nvGraphicFramePr>
      <xdr:xfrm>
        <a:off x="14954250" y="1485900"/>
        <a:ext cx="632460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857250</xdr:colOff>
      <xdr:row>9</xdr:row>
      <xdr:rowOff>9525</xdr:rowOff>
    </xdr:from>
    <xdr:to>
      <xdr:col>20</xdr:col>
      <xdr:colOff>9525</xdr:colOff>
      <xdr:row>28</xdr:row>
      <xdr:rowOff>9525</xdr:rowOff>
    </xdr:to>
    <xdr:graphicFrame>
      <xdr:nvGraphicFramePr>
        <xdr:cNvPr id="5" name="Chart 37"/>
        <xdr:cNvGraphicFramePr/>
      </xdr:nvGraphicFramePr>
      <xdr:xfrm>
        <a:off x="14792325" y="1495425"/>
        <a:ext cx="6286500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fs01\rv%20team\Link%20Busta%20(DO%20NOT%20DELETE%20THIS%20FILE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USERS\EMosley\General%20Marketing\Bloomberg%20One%20Pag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pnyc05\shared\CLIENTS\Alamosa\Financial%20Models\APS%20Chanin%20Model%20NEW%20(v.20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la\ChaninShare\WINNT\Profiles\bnizam\Desktop\Zilog\Zilog%20Historic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la\ChaninShare\CLIENTS\Coram%20Healthcare\Valuation%20Memo\Juan%20Data\Old%20Juan%20Files\Juan%20Excel%20Data_assistedbyjosh%20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search%20Reports\FactSet\TCEM%20Industry%20Spreadsheets\Music%20AW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la\ChaninShare\CLIENTS\Doskocil\MODELS\Comp%20model\WACC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la\ChaninShare\CLIENTS\Coram%20Healthcare\bankruptcy%20analysis-NEW%20MODE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pnyc05\shared\Research%20-%20LA\Applied%20Extrusion\Presentations\AETC%20Summar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la\ChaninShare\CLIENTS\Allegiance%20Telecom\CCP%20Presentation\Creditor%20Presentation\Pitch%20Data\Pitch%20Dat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pnyc05\shared\Research%20-%20NYC\Intermet\CCP%20Presentations\Pitch\IBC%20Multi-pager%20(v.7)%20-%209.30.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MIBD03\groups\EXCEL32\NEWAPPS97\STKAPPS\closep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pnyc05\shared\Clients\Project%20Mint%20Julip\CCP%20Presentations\Pitch%20data\DAL%20-%20Financials%20(v.9)%20-%20LA%20DAT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fs01\rv%20team\Clients\Encompass%20Services%20Corp\CCP%20Presentations\Committee%20Presentation%20dat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la\ChaninShare\CLIENTS\Samsonite%20Corporation\Zilog%20Historical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fs01\rv%20team\Documents%20and%20Settings\mondelld\Desktop\AE%20Desktop\AE%20Model%20Files\AE%20Investor%203'1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drew.ETHREE\Desktop\CSI%20Results%20Spreadsheet%20v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\acc\2000\Financial%20Statements\Nov-00%20FS\Consolidated\Nov-00%20Consold%20P&amp;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fs01\rv%20team\Old%20Data%20Directory\SHARED\MEDCOM\DEALS\V\Viatel\Project%20Venus\Model\Fin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fs01\rv%20team\TEMP\Old%20Data%20Directory\SHARED\MEDCOM\DEALS\V\Viatel\Project%20Venus\Model\Final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\acc\WINDOWS\TEMP\1999%20budget%20old%20version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la\ChaninShare\Budget2000\Corp%20template\model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XMODEL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\2001%20pla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fs01\rv%20team\TEMP\H.$config.notes.data\cox\cox-graph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fs01\rv%20team\TEMP\H.$config.notes.data\cvc\CVC-graphs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fs01\rv%20team\Distressed\Corporates\Cable%20Industry\handcabl%20(5-11-04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ny\Shared\Clients\Atlantic%20Express\DIP\DIP%20Term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ny\Shared\New%20Biz\Foodservice%20update\Food%20Industry%20Presentation\Clients\Fleming\Model\Recovery%20Analysi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fs01\rv%20team\Clients\Miss%20Chemical\CCP%20Presentation\pitch%20data\GRO%20Financial%20analysi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fs01\rv%20team\Documents%20and%20Settings\BMURPHY\Local%20Settings\Temporary%20Internet%20Files\OLK138\Trading%20Comp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fs01\rv%20team\EXCDAT\Mississippi%20Chemical\PostRefi\Company%20Files\FYl%2003%20Proj%20Base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la\ChaninShare\CLIENTS\Phonetel\MODELS\Foothill%20Refinance%20Model\Model%20for%20the%20memo\Refinance%20Model%20-%20Sup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humakerN\Second%20round\Corp\1000-400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pnyc05\shared\Documents%20and%20Settings\rreistetter\Local%20Settings\Temporary%20Internet%20Files\OLK83\Bank%20Case%202.1%20(1-19-04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la\chaninshare\CLIENTS\Doskocil\PRESENTA\Valuation\Valuat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fs01\rv%20team\Clients\Encompass%20Services%20Corp\Financial%20Models\Divestiture%20Candidate%20Model_Disclosur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fs01\rv%20team\NrPortbl\Rinc\MONDELLD\144160_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pnyc05\shared\Clients\ATX%20Communications\Valuation\Trading%20Comps\ATX%20CLEC%20Comps%20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News\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ink Busta (DO NOT DELETE THIS "/>
      <sheetName val="Traffic_Rev"/>
      <sheetName val="RTL-IP-Dep-FA"/>
      <sheetName val="IA - Summary"/>
      <sheetName val="Assumptions"/>
      <sheetName val="#REF"/>
      <sheetName val="IPRD"/>
      <sheetName val="Inventec"/>
      <sheetName val="Broadcom"/>
      <sheetName val="VARS"/>
      <sheetName val="7 Qtr (1Q00-3Q01)"/>
      <sheetName val="Cap-FA"/>
      <sheetName val="Assumptions and Inputs"/>
      <sheetName val="Summary"/>
      <sheetName val="Risk Data"/>
      <sheetName val="Bal Sht 9-30-01"/>
      <sheetName val="Do not use"/>
      <sheetName val="LOH0197"/>
      <sheetName val="CAPITAL"/>
      <sheetName val="CAPMIP"/>
      <sheetName val="Input1"/>
      <sheetName val="Input2"/>
      <sheetName val="EPG"/>
      <sheetName val="Music"/>
      <sheetName val="Shopping"/>
      <sheetName val="Weather"/>
      <sheetName val="Banking"/>
      <sheetName val="Cost to Customer"/>
      <sheetName val="2001"/>
      <sheetName val="Q3"/>
      <sheetName val="Q4"/>
      <sheetName val="Projections 2"/>
      <sheetName val="Inputs"/>
      <sheetName val="key_inputs"/>
      <sheetName val="Proj. Financials"/>
      <sheetName val="KeyMultInputs"/>
      <sheetName val="Attrition"/>
      <sheetName val="Iowa Curves"/>
      <sheetName val="Historical"/>
      <sheetName val="Mult-3yr"/>
      <sheetName val="WP_Hist ABC"/>
      <sheetName val="Exb II.1_Summary Taira"/>
      <sheetName val="Detail Schedules"/>
      <sheetName val="Forecast"/>
      <sheetName val="Jobs"/>
      <sheetName val="dom-salaries"/>
      <sheetName val="Trends &amp; Rates"/>
      <sheetName val="Deferred Maint - old"/>
      <sheetName val="Deferred Add"/>
      <sheetName val="Existing"/>
      <sheetName val="INPUT"/>
      <sheetName val="DCF"/>
      <sheetName val="Historical I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ne-Pager"/>
      <sheetName val="1st Bond"/>
      <sheetName val="2nd Bond"/>
      <sheetName val="3rd Bond"/>
      <sheetName val="Quote"/>
    </sheetNames>
    <sheetDataSet>
      <sheetData sheetId="0">
        <row r="2">
          <cell r="A2" t="str">
            <v>One New Orchard Road, Armonk, NY 10504, United States</v>
          </cell>
          <cell r="G2" t="str">
            <v>N.A.</v>
          </cell>
          <cell r="I2" t="str">
            <v>914-499-1900</v>
          </cell>
        </row>
        <row r="3">
          <cell r="Q3" t="str">
            <v>One New Orchard Road</v>
          </cell>
        </row>
        <row r="5">
          <cell r="A5" t="str">
            <v>Description</v>
          </cell>
        </row>
        <row r="6">
          <cell r="A6" t="str">
            <v>International Business Machines Corporation (IBM) provides customer solutions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alue to Notes"/>
      <sheetName val="Summary"/>
      <sheetName val="Control"/>
      <sheetName val="Analysis"/>
      <sheetName val="Model"/>
      <sheetName val="Biz Plan"/>
      <sheetName val="Pres Tables"/>
    </sheetNames>
    <sheetDataSet>
      <sheetData sheetId="2">
        <row r="141">
          <cell r="P141">
            <v>686.239331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tailed Comps"/>
      <sheetName val="Assumptions and Inputs (2)"/>
      <sheetName val="Data Dump"/>
      <sheetName val="Assumptions and Inputs"/>
      <sheetName val="Income_Statment"/>
      <sheetName val="Balance Sheet"/>
      <sheetName val="Ratios_Sheet"/>
      <sheetName val="Scenario 1"/>
      <sheetName val="FCF Calculation"/>
      <sheetName val="Recovery Analysis"/>
      <sheetName val="Debt analysis"/>
      <sheetName val="Debt Capacity"/>
      <sheetName val="Covenant"/>
      <sheetName val="Cap Curr Val"/>
      <sheetName val="CAYSO8Y5"/>
      <sheetName val="Capitalization Table"/>
      <sheetName val="CF&amp;Revolver"/>
      <sheetName val="Print Macro"/>
      <sheetName val="Print Macro (2)"/>
    </sheetNames>
    <sheetDataSet>
      <sheetData sheetId="1">
        <row r="7">
          <cell r="D7" t="str">
            <v>Envirosource, Inc.</v>
          </cell>
        </row>
        <row r="8">
          <cell r="D8" t="str">
            <v>December 31,</v>
          </cell>
        </row>
        <row r="9">
          <cell r="D9">
            <v>2000</v>
          </cell>
        </row>
        <row r="10">
          <cell r="D10">
            <v>36981</v>
          </cell>
        </row>
        <row r="11">
          <cell r="D11" t="str">
            <v>(US$ in 000's)</v>
          </cell>
        </row>
        <row r="14">
          <cell r="D14" t="str">
            <v>Source:  10K's and 10Q's.  Some totals may not add due to rounding.  See Statement of Limiting Conditions.</v>
          </cell>
        </row>
        <row r="15">
          <cell r="D15" t="str">
            <v>Draft Document.  </v>
          </cell>
        </row>
        <row r="16">
          <cell r="D16" t="str">
            <v>All data subject to change upon completion of additional analysis.</v>
          </cell>
        </row>
        <row r="17">
          <cell r="D17" t="str">
            <v>© 2001 Chanin Capital Partners</v>
          </cell>
        </row>
        <row r="19">
          <cell r="D19" t="str">
            <v>A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45">
          <cell r="D45" t="str">
            <v>This border defines a print range… Do not remove the shading…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ub-spoke"/>
      <sheetName val="Comparable Values"/>
      <sheetName val="DCF"/>
      <sheetName val="WACC"/>
      <sheetName val="LTM Comps"/>
      <sheetName val="1999 Comps"/>
      <sheetName val="1998 Comps"/>
      <sheetName val="Balance Sheet 1"/>
      <sheetName val="Capital Structure"/>
      <sheetName val="Balance Sheet Data"/>
      <sheetName val="Ingore workshets 2 the right"/>
      <sheetName val="All Comps"/>
      <sheetName val="Chart Data"/>
      <sheetName val="Competitors"/>
      <sheetName val="Quote"/>
      <sheetName val="Historic Multiples"/>
      <sheetName val="mgmt."/>
      <sheetName val="org1"/>
      <sheetName val="org 2"/>
      <sheetName val="org3"/>
      <sheetName val="org4"/>
      <sheetName val="org5"/>
      <sheetName val="org6"/>
      <sheetName val="orgtemp"/>
      <sheetName val="Timelin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usak"/>
      <sheetName val="__FDSCACHE__"/>
      <sheetName val="WACC"/>
      <sheetName val="PV Graph Dat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Detailed Comps"/>
      <sheetName val="Raw Data"/>
      <sheetName val="Percentages and Betas"/>
      <sheetName val="WACC Calculation"/>
      <sheetName val="WACC Guideline Companies"/>
      <sheetName val="Print Macro"/>
    </sheetNames>
    <sheetDataSet>
      <sheetData sheetId="0">
        <row r="14">
          <cell r="C14">
            <v>36008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utputs"/>
      <sheetName val="Inputs"/>
      <sheetName val="IS"/>
      <sheetName val="AM"/>
      <sheetName val="Module3"/>
      <sheetName val="Module4"/>
      <sheetName val="Module1"/>
      <sheetName val="Sheet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bitda &amp; capex Q"/>
      <sheetName val="rev &amp; exp A"/>
      <sheetName val="ebitda &amp; capex A"/>
      <sheetName val="Q Rev Cont"/>
      <sheetName val="A Rev Cont"/>
      <sheetName val="Q EBITDA Cont"/>
      <sheetName val="A EBITDA Cont"/>
      <sheetName val="Chart Data"/>
      <sheetName val="cap"/>
      <sheetName val="fin sum"/>
      <sheetName val="eq"/>
      <sheetName val="bh"/>
      <sheetName val="mgmt &amp; b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Level 3 Tender"/>
      <sheetName val="CLEC Operating Metrics"/>
      <sheetName val="IS"/>
      <sheetName val="Debt Maturities"/>
      <sheetName val="BS"/>
      <sheetName val="CF"/>
      <sheetName val="12.875% Senior Notes"/>
      <sheetName val="11.75% Disc Notes"/>
      <sheetName val="Common"/>
      <sheetName val="Credit Ratings"/>
      <sheetName val="Bond Issuance"/>
      <sheetName val="CapTable"/>
      <sheetName val="ALGX Banks"/>
      <sheetName val="Birch Shares"/>
      <sheetName val="ALGX Equity Holders"/>
      <sheetName val="ALGX Noteholders"/>
      <sheetName val="Legal Structure"/>
      <sheetName val="Transaction"/>
      <sheetName val="Sheet2"/>
      <sheetName val="Financial Summary"/>
      <sheetName val="Recovery"/>
      <sheetName val="Sheet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ources"/>
      <sheetName val="level 1"/>
      <sheetName val="level 2"/>
      <sheetName val="Chart Data"/>
      <sheetName val="rev &amp; exp Q"/>
      <sheetName val="hist fin"/>
      <sheetName val="proj fin"/>
      <sheetName val="cap"/>
      <sheetName val="players"/>
      <sheetName val="Mgmt"/>
      <sheetName val="Eqholders"/>
      <sheetName val="level 3"/>
      <sheetName val="chart"/>
      <sheetName val="Holdings"/>
      <sheetName val="Eq prices"/>
    </sheetNames>
    <sheetDataSet>
      <sheetData sheetId="3">
        <row r="6">
          <cell r="E6" t="str">
            <v>Interstate Bakeries Corp (Ticker: IBC)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Sheet3"/>
      <sheetName val="Sheet2"/>
      <sheetName val="Sheet1"/>
      <sheetName val="return"/>
      <sheetName val="pricing"/>
      <sheetName val="closepr1"/>
      <sheetName val="indices"/>
      <sheetName val="Run CD Access"/>
      <sheetName val="closep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Level 1"/>
      <sheetName val="Level 2 - Summary"/>
      <sheetName val="Level 2 - Historicals"/>
      <sheetName val="Level 2 - Cap Table"/>
      <sheetName val="Level 2 - Op. Lease"/>
      <sheetName val="Level 2 - Mgmt"/>
      <sheetName val="Level 2 - Fleet &amp; Misc"/>
      <sheetName val="Level 2 - Fleet Desc"/>
      <sheetName val="Level 2 - Charts"/>
      <sheetName val="Level 2 - EETC"/>
      <sheetName val="Level 2 - Chart"/>
      <sheetName val="Level 3"/>
      <sheetName val="Level 3 - Projection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Qtr Results-backup"/>
      <sheetName val="Backlog graphs"/>
      <sheetName val="Backlog Detail"/>
      <sheetName val="Qtr Results"/>
      <sheetName val="BS (2)"/>
      <sheetName val="CF (2)"/>
      <sheetName val="Proposals"/>
      <sheetName val="Recap"/>
      <sheetName val="Cap Table 8-K"/>
      <sheetName val="est. Cap Table"/>
      <sheetName val="monthly"/>
      <sheetName val="Non-core"/>
      <sheetName val="IS 9.30.02"/>
      <sheetName val="IS"/>
      <sheetName val="LTM Income Statement"/>
      <sheetName val="One-Pager"/>
      <sheetName val="BS"/>
      <sheetName val="CF"/>
      <sheetName val="Cash Flow Statement (2)"/>
      <sheetName val="Cap Table"/>
      <sheetName val="Income Statement"/>
      <sheetName val="Income Statement2"/>
      <sheetName val="Water Treatment"/>
      <sheetName val="Liquidity"/>
      <sheetName val="Segmen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tailed Comps"/>
      <sheetName val="Assumptions and Inputs (2)"/>
      <sheetName val="CAYSO8Y5"/>
      <sheetName val="Data Dump"/>
      <sheetName val="Assumptions and Inputs"/>
      <sheetName val="Income_Statment"/>
      <sheetName val="Balance Sheet"/>
      <sheetName val="Ratios_Sheet"/>
      <sheetName val="Scenario 1"/>
      <sheetName val="Recovery Analysis"/>
      <sheetName val="Debt analysis"/>
      <sheetName val="Debt Capacity"/>
      <sheetName val="Covenant"/>
      <sheetName val="Cap Curr Val"/>
      <sheetName val="Capitalization Table"/>
      <sheetName val="CF&amp;Revolver"/>
      <sheetName val="Print Macro"/>
      <sheetName val="Print Macro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HasGets"/>
      <sheetName val="Equity"/>
      <sheetName val="BalSht"/>
      <sheetName val="CapSum"/>
      <sheetName val="Recap"/>
      <sheetName val="SLease"/>
      <sheetName val="CF Summary"/>
      <sheetName val="WEEKLY CASH"/>
      <sheetName val="WEEKLY COLLATERAL"/>
      <sheetName val="Summary"/>
      <sheetName val="Ann IS"/>
      <sheetName val="Ann BS"/>
      <sheetName val="Ann CF"/>
      <sheetName val="Ann BB"/>
      <sheetName val="S1"/>
      <sheetName val="S1a"/>
      <sheetName val="S1b"/>
      <sheetName val="S1c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ASBCLink"/>
      <sheetName val="Other Debt"/>
      <sheetName val="New DA"/>
      <sheetName val="New Amort"/>
      <sheetName val="DSO Driver"/>
      <sheetName val="No Print =&gt;"/>
      <sheetName val="DCF Link"/>
      <sheetName val="DSO Comparison"/>
      <sheetName val="Rijo Assump"/>
      <sheetName val="data - IS"/>
      <sheetName val="data - detail"/>
      <sheetName val="data-jbs"/>
      <sheetName val="data - cny"/>
      <sheetName val="data - prepaids"/>
      <sheetName val="data - bs"/>
      <sheetName val="data - Capex Debt"/>
    </sheetNames>
    <sheetDataSet>
      <sheetData sheetId="4">
        <row r="148">
          <cell r="O148" t="str">
            <v>Sep-03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verpage"/>
      <sheetName val="Inputs"/>
      <sheetName val="Calculations"/>
      <sheetName val="Results"/>
      <sheetName val="Report Tables"/>
      <sheetName val="Retail Rate Escalation"/>
      <sheetName val="Workshop Figures"/>
    </sheetNames>
    <sheetDataSet>
      <sheetData sheetId="1">
        <row r="37">
          <cell r="G37">
            <v>1.275717933569013</v>
          </cell>
        </row>
        <row r="38">
          <cell r="G38">
            <v>1.6131695828960806</v>
          </cell>
        </row>
        <row r="39">
          <cell r="G39">
            <v>0.687026055967914</v>
          </cell>
        </row>
        <row r="40">
          <cell r="G40">
            <v>1.7431623035812183</v>
          </cell>
        </row>
        <row r="41">
          <cell r="G41">
            <v>6.327060090726258</v>
          </cell>
        </row>
        <row r="42">
          <cell r="G42">
            <v>1.2265532285147167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sold P&amp;L QTD Nov-00"/>
      <sheetName val="Consold P&amp;L Nov-00"/>
      <sheetName val="Consold P&amp;L Oct-00"/>
      <sheetName val="UK P&amp;L Nov-00"/>
      <sheetName val="Inc. P&amp;L Nov-00"/>
      <sheetName val="Israel P&amp;L Nov-00"/>
      <sheetName val="Dept Exp Nov-00"/>
      <sheetName val="Inc. P&amp;L Oct-00"/>
      <sheetName val="Israel P&amp;L Oct-00"/>
      <sheetName val="UK P&amp;L Oct-00"/>
      <sheetName val="Dept Exp Oct-00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come Statement"/>
      <sheetName val="Cash Flow"/>
      <sheetName val="Balance Sheet"/>
      <sheetName val="Debt Schedule"/>
      <sheetName val="Revenue Drivers"/>
      <sheetName val="Cost Drivers"/>
      <sheetName val="V-STM_CAPEX_D&amp;A"/>
      <sheetName val="DSL Summary"/>
      <sheetName val="DSL I_S"/>
      <sheetName val="DSL ASSUMPTIONS"/>
      <sheetName val="DSL REV ASSUMPTIONS"/>
      <sheetName val="DSL COS ASSUMPTIONS"/>
      <sheetName val="DSL BACKHAUL "/>
      <sheetName val="DSL CAPEX"/>
      <sheetName val="DSL SG&amp;A"/>
      <sheetName val="WebHosting Contribution"/>
      <sheetName val="WebHosting Assumptions"/>
      <sheetName val="DSL Graphs"/>
      <sheetName val="CLEC"/>
      <sheetName val="WH Graphs"/>
      <sheetName val="IRR"/>
      <sheetName val="Summary"/>
      <sheetName val="Consolidated Integrated Service"/>
      <sheetName val="Network Revenues"/>
      <sheetName val="Costs"/>
      <sheetName val="Depreciation&amp;CAPEX"/>
      <sheetName val="ex comps"/>
      <sheetName val="comps"/>
      <sheetName val="comps mkt value"/>
      <sheetName val="cap tables 3-30"/>
      <sheetName val="Summary "/>
      <sheetName val="cap tables 6-30"/>
      <sheetName val="Additional Notes 3-30"/>
      <sheetName val="Additional Notes 6-30"/>
      <sheetName val="Forward Multiple"/>
      <sheetName val="Forward Estimates"/>
    </sheetNames>
    <sheetDataSet>
      <sheetData sheetId="0">
        <row r="16">
          <cell r="Q16" t="str">
            <v>Management Projections Including DSL, CLEC, and WebHosting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come Statement"/>
      <sheetName val="Cash Flow"/>
      <sheetName val="Balance Sheet"/>
      <sheetName val="Debt Schedule"/>
      <sheetName val="Revenue Drivers"/>
      <sheetName val="Cost Drivers"/>
      <sheetName val="V-STM_CAPEX_D&amp;A"/>
      <sheetName val="DSL Summary"/>
      <sheetName val="DSL I_S"/>
      <sheetName val="DSL ASSUMPTIONS"/>
      <sheetName val="DSL REV ASSUMPTIONS"/>
      <sheetName val="DSL COS ASSUMPTIONS"/>
      <sheetName val="DSL BACKHAUL "/>
      <sheetName val="DSL CAPEX"/>
      <sheetName val="DSL SG&amp;A"/>
      <sheetName val="WebHosting Contribution"/>
      <sheetName val="WebHosting Assumptions"/>
      <sheetName val="DSL Graphs"/>
      <sheetName val="CLEC"/>
      <sheetName val="WH Graphs"/>
      <sheetName val="IRR"/>
      <sheetName val="Summary"/>
      <sheetName val="Consolidated Integrated Service"/>
      <sheetName val="Network Revenues"/>
      <sheetName val="Costs"/>
      <sheetName val="Depreciation&amp;CAPEX"/>
      <sheetName val="ex comps"/>
      <sheetName val="comps"/>
      <sheetName val="comps mkt value"/>
      <sheetName val="cap tables 3-30"/>
      <sheetName val="Summary "/>
      <sheetName val="cap tables 6-30"/>
      <sheetName val="Additional Notes 3-30"/>
      <sheetName val="Additional Notes 6-30"/>
      <sheetName val="Forward Multiple"/>
      <sheetName val="Forward Estimates"/>
    </sheetNames>
    <sheetDataSet>
      <sheetData sheetId="0">
        <row r="16">
          <cell r="Q16" t="str">
            <v>Management Projections Including DSL, CLEC, and WebHosting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srael 99 ver1"/>
      <sheetName val="Israel 99 ver2"/>
      <sheetName val="Israel 99 ver3"/>
      <sheetName val="Sheet1"/>
      <sheetName val="Sheet2"/>
      <sheetName val="Sheet3"/>
    </sheetNames>
    <sheetDataSet>
      <sheetData sheetId="0">
        <row r="148">
          <cell r="B148">
            <v>15000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urrentSettings"/>
      <sheetName val="General_Macros"/>
      <sheetName val="Headcount_Macros"/>
      <sheetName val="Expenses_Macros"/>
      <sheetName val="Navigator"/>
      <sheetName val="Section Finder"/>
      <sheetName val="Adjustments"/>
      <sheetName val="Dialog_Macros"/>
      <sheetName val="Revenue_Macros"/>
      <sheetName val="Consult-Contract Detail"/>
      <sheetName val="Admin"/>
      <sheetName val="Main Menu"/>
      <sheetName val="General Information"/>
      <sheetName val="Summary P&amp;L"/>
      <sheetName val="Revenue"/>
      <sheetName val="Drugs &amp; Supplies"/>
      <sheetName val="Staffing Model Assumptions"/>
      <sheetName val="Salaries Summary"/>
      <sheetName val="Headcount"/>
      <sheetName val="Expense Assumptions"/>
      <sheetName val="Expense Summary"/>
      <sheetName val="General Departmental Expenses"/>
      <sheetName val="Capital expend and Deprec."/>
      <sheetName val="Detail Display"/>
      <sheetName val="data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XMODEL"/>
      <sheetName val="Assump"/>
      <sheetName val="NIBCO"/>
      <sheetName val="NIBCO Synergy"/>
      <sheetName val="Synergy DCF"/>
      <sheetName val="Valuation"/>
      <sheetName val="Overview"/>
      <sheetName val="Overview LTM"/>
      <sheetName val="PPR"/>
      <sheetName val="DCF Summary"/>
      <sheetName val="Ownership"/>
      <sheetName val="Projections"/>
      <sheetName val="PPR Summary New"/>
      <sheetName val="Structure Summary"/>
      <sheetName val="Ownership Summary"/>
      <sheetName val="Capital Structure"/>
      <sheetName val="Premium"/>
      <sheetName val="Synergy Case"/>
      <sheetName val="Lines"/>
      <sheetName val="PPR Premium"/>
      <sheetName val="Premium to Bk Value"/>
      <sheetName val="Value Compare 1999"/>
      <sheetName val="Value Compare 1998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lan Sheet"/>
      <sheetName val="#REF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raphs"/>
      <sheetName val="cox-graphs"/>
      <sheetName val="#RE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raphs"/>
      <sheetName val="CVC-graphs"/>
      <sheetName val="#REF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HANDOUT"/>
      <sheetName val="CableLink"/>
      <sheetName val="Markets"/>
      <sheetName val="Price Links"/>
      <sheetName val="CMCSA"/>
      <sheetName val="GMH"/>
      <sheetName val="Disclosure"/>
      <sheetName val="Module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I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ecovery Analysis"/>
      <sheetName val="#REF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Burn"/>
      <sheetName val="Leverage"/>
      <sheetName val="Interest Coverage"/>
      <sheetName val="IS"/>
      <sheetName val="BS"/>
      <sheetName val="CF"/>
      <sheetName val="Interest Coverage (2)"/>
      <sheetName val="Sales Chart"/>
      <sheetName val="Oper Perform"/>
      <sheetName val="Business"/>
      <sheetName val="One-Pager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mps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Beg Bal Inputs"/>
      <sheetName val="Gas Scenarios"/>
      <sheetName val="Nitrogen Inputs"/>
      <sheetName val="Potash Inputs"/>
      <sheetName val="DAP inputs"/>
      <sheetName val="Corporate"/>
      <sheetName val="N Inv."/>
      <sheetName val="K Inv."/>
      <sheetName val="P Inv."/>
      <sheetName val="avgAA"/>
      <sheetName val="YC Prod"/>
      <sheetName val="D'ville AA #1"/>
      <sheetName val="D'ville AA #2"/>
      <sheetName val="D'ville Urea #2"/>
      <sheetName val="DAP Prod."/>
      <sheetName val="West Prod"/>
      <sheetName val="East Prod"/>
      <sheetName val="Nit P&amp;L"/>
      <sheetName val="Sheet1"/>
      <sheetName val="Trinidad"/>
      <sheetName val="MPI"/>
      <sheetName val="NMPC"/>
      <sheetName val="Tot. Potash"/>
      <sheetName val="MPC"/>
      <sheetName val="Eliminat"/>
      <sheetName val=" miscl."/>
      <sheetName val="Consl. FS"/>
      <sheetName val="Monthly Summary"/>
      <sheetName val="Debt"/>
      <sheetName val="Summ FS"/>
      <sheetName val="Bank Format"/>
      <sheetName val="Qtr. Sales-proir yr."/>
      <sheetName val="Ending Inventory"/>
      <sheetName val="Harris Amend. Rev."/>
      <sheetName val="Tax"/>
      <sheetName val="CSFB Model Inputs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OOP"/>
      <sheetName val="MIS"/>
      <sheetName val="Operations"/>
      <sheetName val="Sales"/>
      <sheetName val="LEC Proc"/>
      <sheetName val="Sales other Corp"/>
      <sheetName val="Cleve. Whe"/>
      <sheetName val="Purchasing"/>
      <sheetName val="Regulatory"/>
      <sheetName val="Fin &amp; Report"/>
      <sheetName val="Legal"/>
      <sheetName val="Human Res."/>
      <sheetName val="Adm "/>
      <sheetName val="Tech Support"/>
      <sheetName val="Corp (2)"/>
      <sheetName val="Corp 2C"/>
      <sheetName val="021"/>
      <sheetName val="022"/>
      <sheetName val="023"/>
      <sheetName val="024"/>
      <sheetName val="025"/>
      <sheetName val="026"/>
      <sheetName val="221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Corp"/>
      <sheetName val="Corp 4C"/>
      <sheetName val="041"/>
      <sheetName val="042"/>
      <sheetName val="043"/>
      <sheetName val="044"/>
      <sheetName val="045"/>
      <sheetName val="045A"/>
      <sheetName val="046"/>
      <sheetName val="047"/>
      <sheetName val="048"/>
      <sheetName val="049"/>
      <sheetName val="Corp C"/>
      <sheetName val="Corp 5C"/>
      <sheetName val="051"/>
      <sheetName val="052"/>
      <sheetName val="056"/>
      <sheetName val="057"/>
      <sheetName val="059"/>
      <sheetName val="551"/>
      <sheetName val="552"/>
      <sheetName val="554"/>
      <sheetName val="558"/>
      <sheetName val="559"/>
      <sheetName val="561"/>
      <sheetName val="560"/>
      <sheetName val="56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_Macros"/>
      <sheetName val="Headcount_Macros"/>
      <sheetName val="Expenses_Macros"/>
      <sheetName val="Dialog_Macros"/>
      <sheetName val="Revenue_Macros"/>
      <sheetName val="General Information"/>
      <sheetName val="Summary P&amp;L"/>
      <sheetName val="Revenue"/>
      <sheetName val="Drugs &amp; Supplies"/>
      <sheetName val="Staffing Model Assumptions"/>
      <sheetName val="Salaries Summary"/>
      <sheetName val="Headcount"/>
      <sheetName val="Expense Assumptions"/>
      <sheetName val="Expense Summary"/>
      <sheetName val="General Departmental Expenses"/>
      <sheetName val="Capital expend and Deprec."/>
      <sheetName val="Detail Expense"/>
      <sheetName val="2000 database"/>
      <sheetName val="1999 actuals"/>
    </sheetNames>
    <sheetDataSet>
      <sheetData sheetId="6">
        <row r="5">
          <cell r="F5" t="str">
            <v>Q4 1999</v>
          </cell>
          <cell r="G5">
            <v>35735</v>
          </cell>
          <cell r="H5">
            <v>35765</v>
          </cell>
          <cell r="K5">
            <v>36526</v>
          </cell>
          <cell r="L5">
            <v>36557</v>
          </cell>
          <cell r="M5">
            <v>36586</v>
          </cell>
          <cell r="N5">
            <v>36617</v>
          </cell>
          <cell r="O5">
            <v>36647</v>
          </cell>
          <cell r="P5">
            <v>36678</v>
          </cell>
          <cell r="Q5">
            <v>36708</v>
          </cell>
          <cell r="R5">
            <v>36739</v>
          </cell>
          <cell r="S5">
            <v>36770</v>
          </cell>
          <cell r="T5">
            <v>36800</v>
          </cell>
          <cell r="U5">
            <v>36831</v>
          </cell>
          <cell r="V5">
            <v>36861</v>
          </cell>
        </row>
      </sheetData>
      <sheetData sheetId="7">
        <row r="54">
          <cell r="B54" t="e">
            <v>#DIV/0!</v>
          </cell>
          <cell r="C54" t="e">
            <v>#DIV/0!</v>
          </cell>
          <cell r="D54" t="e">
            <v>#DIV/0!</v>
          </cell>
          <cell r="F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F340">
            <v>0</v>
          </cell>
          <cell r="G340">
            <v>0</v>
          </cell>
          <cell r="H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F473">
            <v>0</v>
          </cell>
          <cell r="G473">
            <v>0</v>
          </cell>
          <cell r="H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Bank Case 2.1 (output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CF Assumptions"/>
      <sheetName val="Valuation Range"/>
      <sheetName val="Valuation Summary "/>
      <sheetName val="DCF"/>
      <sheetName val="Market Comps"/>
      <sheetName val="Detailed Comps"/>
      <sheetName val="Sim Trans"/>
      <sheetName val="Liquidation"/>
      <sheetName val="Pro-forma "/>
      <sheetName val="12_31_Market Comps"/>
      <sheetName val="12_31_Raw Data"/>
      <sheetName val="12_31_Quotes"/>
      <sheetName val="Raw Data"/>
      <sheetName val="Quotes"/>
      <sheetName val="Summary"/>
      <sheetName val="EBITDA Summary  "/>
      <sheetName val="Valuation Summary For Pres"/>
      <sheetName val="Comp Analysis"/>
      <sheetName val="3-yr VALUE"/>
      <sheetName val="Future"/>
      <sheetName val="COMP 1"/>
      <sheetName val="COMP 2"/>
      <sheetName val="COMP 3"/>
      <sheetName val="COMP 4"/>
      <sheetName val="COMP 5"/>
      <sheetName val="COMP 6"/>
      <sheetName val="Charts"/>
      <sheetName val="3-yr VALUE (2)"/>
      <sheetName val="Request 4"/>
    </sheetNames>
    <sheetDataSet>
      <sheetData sheetId="0">
        <row r="10">
          <cell r="D10">
            <v>0.4958904109589041</v>
          </cell>
        </row>
        <row r="11">
          <cell r="D11">
            <v>0.4166666666666667</v>
          </cell>
        </row>
        <row r="15">
          <cell r="D15">
            <v>0.2513916666666667</v>
          </cell>
          <cell r="E15">
            <v>1.0027777777777778</v>
          </cell>
          <cell r="F15">
            <v>2.0027777777777778</v>
          </cell>
          <cell r="G15">
            <v>3.0027777777777778</v>
          </cell>
          <cell r="H15">
            <v>4.002777777777777</v>
          </cell>
          <cell r="I15">
            <v>5.002777777777777</v>
          </cell>
          <cell r="J15">
            <v>6.002777777777777</v>
          </cell>
        </row>
        <row r="88">
          <cell r="D88">
            <v>0.4</v>
          </cell>
          <cell r="E88">
            <v>0.4</v>
          </cell>
          <cell r="F88">
            <v>0.4</v>
          </cell>
          <cell r="G88">
            <v>0.4</v>
          </cell>
          <cell r="H88">
            <v>0.4</v>
          </cell>
          <cell r="I88">
            <v>0.4</v>
          </cell>
        </row>
        <row r="152">
          <cell r="D152">
            <v>0.2</v>
          </cell>
        </row>
        <row r="154">
          <cell r="D154">
            <v>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Input"/>
      <sheetName val="Summary"/>
      <sheetName val="Cash Flow"/>
      <sheetName val="Output"/>
      <sheetName val="Sheet1"/>
      <sheetName val="Assumptions"/>
      <sheetName val="Asset Proceeds and Taxes"/>
      <sheetName val="COPY FROM THIS PAGE"/>
      <sheetName val="&lt;----Stop  Here"/>
      <sheetName val="Format"/>
      <sheetName val="TRANSF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SLease"/>
      <sheetName val="CF Summary"/>
      <sheetName val="WEEKLY CASH"/>
      <sheetName val="WEEKLY COLLATERAL"/>
      <sheetName val="Summary"/>
      <sheetName val="Ann IS"/>
      <sheetName val="Ann BS"/>
      <sheetName val="Ann CF"/>
      <sheetName val="Ann BB"/>
      <sheetName val="S1"/>
      <sheetName val="S1a"/>
      <sheetName val="S1b"/>
      <sheetName val="S1c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ASBCLink"/>
      <sheetName val="Other Debt"/>
      <sheetName val="New DA"/>
      <sheetName val="New Amort"/>
      <sheetName val="DSO Driver"/>
      <sheetName val="No Print =&gt;"/>
      <sheetName val="DCF Link"/>
      <sheetName val="DSO Comparison"/>
      <sheetName val="Rijo Assump"/>
      <sheetName val="data - IS"/>
      <sheetName val="data - detail"/>
      <sheetName val="data-jbs"/>
      <sheetName val="data - cny"/>
      <sheetName val="data - prepaids"/>
      <sheetName val="data - bs"/>
      <sheetName val="data - Capex Debt"/>
    </sheetNames>
    <sheetDataSet>
      <sheetData sheetId="0">
        <row r="52">
          <cell r="B5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__FDSCACHE__"/>
      <sheetName val="WACC"/>
      <sheetName val="Template"/>
      <sheetName val="Input"/>
      <sheetName val="Debt"/>
      <sheetName val="FS Debt"/>
      <sheetName val="SG&amp;A Analysis"/>
      <sheetName val="Debt Detail - FS"/>
      <sheetName val="MarketShare"/>
    </sheetNames>
    <sheetDataSet>
      <sheetData sheetId="6">
        <row r="26">
          <cell r="A26" t="str">
            <v>LX014097</v>
          </cell>
          <cell r="B26">
            <v>9933</v>
          </cell>
          <cell r="C26" t="str">
            <v>loan</v>
          </cell>
          <cell r="D26" t="str">
            <v>Allegiance Telecom</v>
          </cell>
          <cell r="E26" t="str">
            <v>Allegiance Telecom (2/00)</v>
          </cell>
          <cell r="F26" t="str">
            <v>Delayed TL</v>
          </cell>
          <cell r="G26" t="str">
            <v>Telecommunications</v>
          </cell>
          <cell r="H26" t="str">
            <v>CC</v>
          </cell>
          <cell r="I26">
            <v>150</v>
          </cell>
          <cell r="J26">
            <v>39082</v>
          </cell>
          <cell r="K26">
            <v>325</v>
          </cell>
          <cell r="N26">
            <v>99.063</v>
          </cell>
          <cell r="O26">
            <v>99.813</v>
          </cell>
          <cell r="P26">
            <v>4</v>
          </cell>
          <cell r="Q26" t="str">
            <v>N</v>
          </cell>
          <cell r="R26" t="str">
            <v>L+337.6</v>
          </cell>
          <cell r="S26">
            <v>99.438</v>
          </cell>
        </row>
        <row r="27">
          <cell r="A27" t="str">
            <v>LX014098</v>
          </cell>
          <cell r="B27">
            <v>9932</v>
          </cell>
          <cell r="C27" t="str">
            <v>loan</v>
          </cell>
          <cell r="D27" t="str">
            <v>Allegiance Telecom</v>
          </cell>
          <cell r="E27" t="str">
            <v>Allegiance Telecom (2/00)</v>
          </cell>
          <cell r="F27" t="str">
            <v>Revolving Credit</v>
          </cell>
          <cell r="G27" t="str">
            <v>Telecommunications</v>
          </cell>
          <cell r="H27" t="str">
            <v>CC</v>
          </cell>
          <cell r="I27">
            <v>350</v>
          </cell>
          <cell r="J27">
            <v>39082</v>
          </cell>
          <cell r="K27">
            <v>325</v>
          </cell>
          <cell r="N27">
            <v>99</v>
          </cell>
          <cell r="O27">
            <v>99.75</v>
          </cell>
          <cell r="P27">
            <v>2</v>
          </cell>
          <cell r="Q27" t="str">
            <v>N</v>
          </cell>
          <cell r="R27" t="str">
            <v>L+338.6</v>
          </cell>
          <cell r="S27">
            <v>99.375</v>
          </cell>
        </row>
        <row r="28">
          <cell r="A28" t="str">
            <v>LX023979</v>
          </cell>
          <cell r="B28">
            <v>-17288</v>
          </cell>
          <cell r="C28" t="str">
            <v>loan</v>
          </cell>
          <cell r="D28" t="str">
            <v>Allegiance Telecom</v>
          </cell>
          <cell r="E28" t="str">
            <v>Allegiance Telecom</v>
          </cell>
          <cell r="F28" t="str">
            <v>Pro Rata</v>
          </cell>
          <cell r="G28" t="str">
            <v>Telecommunications</v>
          </cell>
          <cell r="H28" t="str">
            <v>CC</v>
          </cell>
          <cell r="J28">
            <v>39082</v>
          </cell>
          <cell r="N28">
            <v>99.5</v>
          </cell>
          <cell r="O28">
            <v>100</v>
          </cell>
          <cell r="P28">
            <v>1</v>
          </cell>
          <cell r="Q28" t="str">
            <v>N</v>
          </cell>
          <cell r="S28">
            <v>99.75</v>
          </cell>
        </row>
        <row r="29">
          <cell r="A29" t="str">
            <v>LX025322</v>
          </cell>
          <cell r="B29">
            <v>-18013</v>
          </cell>
          <cell r="C29" t="str">
            <v>loan</v>
          </cell>
          <cell r="D29" t="str">
            <v>Choice One Communications Inc</v>
          </cell>
          <cell r="E29" t="str">
            <v>Choice One</v>
          </cell>
          <cell r="F29" t="str">
            <v>Pro Rata</v>
          </cell>
          <cell r="G29" t="str">
            <v>Telecommunications</v>
          </cell>
          <cell r="H29" t="str">
            <v>CCC-</v>
          </cell>
          <cell r="N29">
            <v>76</v>
          </cell>
          <cell r="O29">
            <v>80</v>
          </cell>
          <cell r="P29">
            <v>1</v>
          </cell>
          <cell r="Q29" t="str">
            <v>N</v>
          </cell>
          <cell r="S29">
            <v>78</v>
          </cell>
        </row>
        <row r="30">
          <cell r="A30" t="str">
            <v>LX012405</v>
          </cell>
          <cell r="B30">
            <v>8418</v>
          </cell>
          <cell r="C30" t="str">
            <v>loan</v>
          </cell>
          <cell r="D30" t="str">
            <v>Icg Communications Inc</v>
          </cell>
          <cell r="E30" t="str">
            <v>ICG Communications (8/99)</v>
          </cell>
          <cell r="F30" t="str">
            <v>Revolving Credit</v>
          </cell>
          <cell r="G30" t="str">
            <v>Telecommunications</v>
          </cell>
          <cell r="I30">
            <v>25</v>
          </cell>
          <cell r="J30">
            <v>38533</v>
          </cell>
          <cell r="K30">
            <v>312.5</v>
          </cell>
          <cell r="N30">
            <v>98.68</v>
          </cell>
          <cell r="O30">
            <v>99.18</v>
          </cell>
          <cell r="P30" t="str">
            <v>implied</v>
          </cell>
          <cell r="Q30" t="str">
            <v>N</v>
          </cell>
          <cell r="R30" t="str">
            <v>L+394</v>
          </cell>
          <cell r="S30">
            <v>98.93</v>
          </cell>
        </row>
        <row r="31">
          <cell r="A31" t="str">
            <v>LX012407</v>
          </cell>
          <cell r="B31">
            <v>8420</v>
          </cell>
          <cell r="C31" t="str">
            <v>loan</v>
          </cell>
          <cell r="D31" t="str">
            <v>Icg Communications Inc</v>
          </cell>
          <cell r="E31" t="str">
            <v>ICG Communications (8/99)</v>
          </cell>
          <cell r="F31" t="str">
            <v>TLb</v>
          </cell>
          <cell r="G31" t="str">
            <v>Telecommunications</v>
          </cell>
          <cell r="I31">
            <v>75</v>
          </cell>
          <cell r="J31">
            <v>38807</v>
          </cell>
          <cell r="K31">
            <v>350</v>
          </cell>
          <cell r="N31">
            <v>99.5</v>
          </cell>
          <cell r="O31">
            <v>100</v>
          </cell>
          <cell r="P31">
            <v>1</v>
          </cell>
          <cell r="Q31" t="str">
            <v>N</v>
          </cell>
          <cell r="R31" t="str">
            <v>L+356</v>
          </cell>
          <cell r="S31">
            <v>99.75</v>
          </cell>
        </row>
        <row r="32">
          <cell r="A32" t="str">
            <v>LX027339</v>
          </cell>
          <cell r="B32">
            <v>-19107</v>
          </cell>
          <cell r="C32" t="str">
            <v>loan</v>
          </cell>
          <cell r="D32" t="str">
            <v>Itc Deltacom Inc</v>
          </cell>
          <cell r="E32" t="str">
            <v>ITC Deltacom TL1</v>
          </cell>
          <cell r="F32" t="str">
            <v>TL</v>
          </cell>
          <cell r="I32">
            <v>96.5</v>
          </cell>
          <cell r="J32">
            <v>38898</v>
          </cell>
          <cell r="K32">
            <v>525</v>
          </cell>
          <cell r="N32">
            <v>96</v>
          </cell>
          <cell r="O32">
            <v>97.5</v>
          </cell>
          <cell r="P32">
            <v>2</v>
          </cell>
          <cell r="Q32" t="str">
            <v>N</v>
          </cell>
          <cell r="R32" t="str">
            <v>L+777.6</v>
          </cell>
          <cell r="S32">
            <v>96.75</v>
          </cell>
          <cell r="T32">
            <v>96.75</v>
          </cell>
        </row>
        <row r="33">
          <cell r="A33" t="str">
            <v>LX027340</v>
          </cell>
          <cell r="B33">
            <v>-19108</v>
          </cell>
          <cell r="C33" t="str">
            <v>loan</v>
          </cell>
          <cell r="D33" t="str">
            <v>Itc Deltacom Inc</v>
          </cell>
          <cell r="E33" t="str">
            <v>ITC Deltacom TL2</v>
          </cell>
          <cell r="F33" t="str">
            <v>TL</v>
          </cell>
          <cell r="I33">
            <v>57.9</v>
          </cell>
          <cell r="J33">
            <v>38898</v>
          </cell>
          <cell r="K33">
            <v>525</v>
          </cell>
          <cell r="N33">
            <v>96</v>
          </cell>
          <cell r="O33">
            <v>97.5</v>
          </cell>
          <cell r="P33">
            <v>2</v>
          </cell>
          <cell r="Q33" t="str">
            <v>N</v>
          </cell>
          <cell r="R33" t="str">
            <v>L+777.6</v>
          </cell>
          <cell r="S33">
            <v>96.75</v>
          </cell>
        </row>
        <row r="34">
          <cell r="A34" t="str">
            <v>LX011871</v>
          </cell>
          <cell r="B34">
            <v>11103</v>
          </cell>
          <cell r="C34" t="str">
            <v>loan</v>
          </cell>
          <cell r="D34" t="str">
            <v>Mcleodusa Corp</v>
          </cell>
          <cell r="E34" t="str">
            <v>McLeod (5/00)</v>
          </cell>
          <cell r="F34" t="str">
            <v>Delayed TL</v>
          </cell>
          <cell r="G34" t="str">
            <v>Telecommunications</v>
          </cell>
          <cell r="I34">
            <v>275</v>
          </cell>
          <cell r="J34">
            <v>39233</v>
          </cell>
          <cell r="K34">
            <v>225</v>
          </cell>
          <cell r="N34">
            <v>55</v>
          </cell>
          <cell r="O34">
            <v>58</v>
          </cell>
          <cell r="P34">
            <v>1</v>
          </cell>
          <cell r="Q34" t="str">
            <v>N</v>
          </cell>
          <cell r="S34">
            <v>56.5</v>
          </cell>
          <cell r="T34">
            <v>58.44615384615385</v>
          </cell>
        </row>
        <row r="35">
          <cell r="A35" t="str">
            <v>LX011872</v>
          </cell>
          <cell r="B35">
            <v>11102</v>
          </cell>
          <cell r="C35" t="str">
            <v>loan</v>
          </cell>
          <cell r="D35" t="str">
            <v>Mcleodusa Corp</v>
          </cell>
          <cell r="E35" t="str">
            <v>McLeod (5/00)</v>
          </cell>
          <cell r="F35" t="str">
            <v>Revolving Credit</v>
          </cell>
          <cell r="G35" t="str">
            <v>Telecommunications</v>
          </cell>
          <cell r="I35">
            <v>450</v>
          </cell>
          <cell r="J35">
            <v>39233</v>
          </cell>
          <cell r="K35">
            <v>225</v>
          </cell>
          <cell r="N35">
            <v>55</v>
          </cell>
          <cell r="O35">
            <v>58</v>
          </cell>
          <cell r="P35">
            <v>1</v>
          </cell>
          <cell r="Q35" t="str">
            <v>N</v>
          </cell>
          <cell r="S35">
            <v>56.5</v>
          </cell>
        </row>
        <row r="36">
          <cell r="A36" t="str">
            <v>LX011873</v>
          </cell>
          <cell r="B36">
            <v>11104</v>
          </cell>
          <cell r="C36" t="str">
            <v>loan</v>
          </cell>
          <cell r="D36" t="str">
            <v>Mcleodusa Corp</v>
          </cell>
          <cell r="E36" t="str">
            <v>McLeod (5/00)</v>
          </cell>
          <cell r="F36" t="str">
            <v>TLb</v>
          </cell>
          <cell r="G36" t="str">
            <v>Telecommunications</v>
          </cell>
          <cell r="I36">
            <v>575</v>
          </cell>
          <cell r="J36">
            <v>39598</v>
          </cell>
          <cell r="K36">
            <v>300</v>
          </cell>
          <cell r="N36">
            <v>59.4</v>
          </cell>
          <cell r="O36">
            <v>62.4</v>
          </cell>
          <cell r="P36">
            <v>5</v>
          </cell>
          <cell r="Q36" t="str">
            <v>N</v>
          </cell>
          <cell r="R36" t="str">
            <v>L+834</v>
          </cell>
          <cell r="S36">
            <v>60.9</v>
          </cell>
        </row>
        <row r="37">
          <cell r="A37" t="str">
            <v>LX010520</v>
          </cell>
          <cell r="B37">
            <v>10645</v>
          </cell>
          <cell r="C37" t="str">
            <v>loan</v>
          </cell>
          <cell r="D37" t="str">
            <v>Time Warner Telecom Inc</v>
          </cell>
          <cell r="E37" t="str">
            <v>Time Warner Telecom (3/00)</v>
          </cell>
          <cell r="F37" t="str">
            <v>Revolving Credit</v>
          </cell>
          <cell r="G37" t="str">
            <v>Telecommunications</v>
          </cell>
          <cell r="H37" t="str">
            <v>B</v>
          </cell>
          <cell r="I37">
            <v>475</v>
          </cell>
          <cell r="J37">
            <v>39447</v>
          </cell>
          <cell r="K37">
            <v>200</v>
          </cell>
          <cell r="N37">
            <v>99.438</v>
          </cell>
          <cell r="O37">
            <v>100.063</v>
          </cell>
          <cell r="P37">
            <v>2</v>
          </cell>
          <cell r="Q37" t="str">
            <v>N</v>
          </cell>
          <cell r="S37" t="e">
            <v>#DIV/0!</v>
          </cell>
          <cell r="T37" t="e">
            <v>#DIV/0!</v>
          </cell>
        </row>
        <row r="38">
          <cell r="A38" t="str">
            <v>LX010518</v>
          </cell>
          <cell r="B38">
            <v>12456</v>
          </cell>
          <cell r="C38" t="str">
            <v>loan</v>
          </cell>
          <cell r="D38" t="str">
            <v>Time Warner Telecom Inc</v>
          </cell>
          <cell r="E38" t="str">
            <v>Time Warner Telecom (Add-on 11/00)</v>
          </cell>
          <cell r="F38" t="str">
            <v>Delayed TL</v>
          </cell>
          <cell r="G38" t="str">
            <v>Telecommunications</v>
          </cell>
          <cell r="H38" t="str">
            <v>B</v>
          </cell>
          <cell r="I38">
            <v>275</v>
          </cell>
          <cell r="J38">
            <v>39447</v>
          </cell>
          <cell r="K38">
            <v>275</v>
          </cell>
          <cell r="N38">
            <v>100</v>
          </cell>
          <cell r="O38">
            <v>100.375</v>
          </cell>
          <cell r="P38">
            <v>3</v>
          </cell>
          <cell r="Q38" t="str">
            <v>N</v>
          </cell>
          <cell r="R38" t="str">
            <v>L+157.8</v>
          </cell>
          <cell r="S38" t="e">
            <v>#DIV/0!</v>
          </cell>
        </row>
        <row r="39">
          <cell r="A39" t="str">
            <v>LX010519</v>
          </cell>
          <cell r="B39">
            <v>12457</v>
          </cell>
          <cell r="C39" t="str">
            <v>loan</v>
          </cell>
          <cell r="D39" t="str">
            <v>Time Warner Telecom Inc</v>
          </cell>
          <cell r="E39" t="str">
            <v>Time Warner Telecom (Add-on 11/00)</v>
          </cell>
          <cell r="F39" t="str">
            <v>TLb</v>
          </cell>
          <cell r="G39" t="str">
            <v>Telecommunications</v>
          </cell>
          <cell r="H39" t="str">
            <v>B</v>
          </cell>
          <cell r="I39">
            <v>250</v>
          </cell>
          <cell r="J39">
            <v>39538</v>
          </cell>
          <cell r="K39">
            <v>400</v>
          </cell>
          <cell r="N39">
            <v>100.688</v>
          </cell>
          <cell r="O39">
            <v>101.063</v>
          </cell>
          <cell r="P39">
            <v>2</v>
          </cell>
          <cell r="Q39" t="str">
            <v>N</v>
          </cell>
          <cell r="R39" t="str">
            <v>L+375.4</v>
          </cell>
          <cell r="S39" t="e">
            <v>#DIV/0!</v>
          </cell>
        </row>
        <row r="40">
          <cell r="A40" t="str">
            <v>LX010306</v>
          </cell>
          <cell r="B40">
            <v>9789</v>
          </cell>
          <cell r="C40" t="str">
            <v>loan</v>
          </cell>
          <cell r="D40" t="str">
            <v>Us Lec Corp</v>
          </cell>
          <cell r="E40" t="str">
            <v>US LEC (12/99)</v>
          </cell>
          <cell r="F40" t="str">
            <v>Delayed TL</v>
          </cell>
          <cell r="G40" t="str">
            <v>Telecommunications</v>
          </cell>
          <cell r="I40">
            <v>125</v>
          </cell>
          <cell r="K40">
            <v>400</v>
          </cell>
          <cell r="N40">
            <v>93.343</v>
          </cell>
          <cell r="O40">
            <v>95.343</v>
          </cell>
          <cell r="P40" t="str">
            <v>implied</v>
          </cell>
          <cell r="Q40" t="str">
            <v>N</v>
          </cell>
          <cell r="R40" t="str">
            <v>L+781.4</v>
          </cell>
          <cell r="S40">
            <v>94.343</v>
          </cell>
        </row>
        <row r="41">
          <cell r="A41" t="str">
            <v>LX010305</v>
          </cell>
          <cell r="B41">
            <v>9788</v>
          </cell>
          <cell r="C41" t="str">
            <v>loan</v>
          </cell>
          <cell r="D41" t="str">
            <v>Us Lec Corp</v>
          </cell>
          <cell r="E41" t="str">
            <v>US LEC (12/99)</v>
          </cell>
          <cell r="F41" t="str">
            <v>Revolving Credit</v>
          </cell>
          <cell r="G41" t="str">
            <v>Telecommunications</v>
          </cell>
          <cell r="I41">
            <v>25</v>
          </cell>
          <cell r="K41">
            <v>400</v>
          </cell>
          <cell r="N41">
            <v>92</v>
          </cell>
          <cell r="O41">
            <v>94</v>
          </cell>
          <cell r="P41">
            <v>1</v>
          </cell>
          <cell r="Q41" t="str">
            <v>N</v>
          </cell>
          <cell r="R41" t="str">
            <v>L+850.5</v>
          </cell>
          <cell r="S41">
            <v>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ox Office Rankings"/>
      <sheetName val="TV Rankings"/>
      <sheetName val="Music Rankings"/>
      <sheetName val="TV Index"/>
      <sheetName val="Film Index"/>
      <sheetName val="Music Index"/>
      <sheetName val="Media Index"/>
      <sheetName val="__FDSCACHE__"/>
      <sheetName val="Digital Index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3:E26"/>
  <sheetViews>
    <sheetView showGridLines="0" tabSelected="1" workbookViewId="0" topLeftCell="A1">
      <selection activeCell="D27" sqref="D27"/>
    </sheetView>
  </sheetViews>
  <sheetFormatPr defaultColWidth="9.140625" defaultRowHeight="12.75"/>
  <cols>
    <col min="1" max="1" width="7.421875" style="13" customWidth="1"/>
    <col min="2" max="2" width="25.421875" style="13" customWidth="1"/>
    <col min="3" max="3" width="22.140625" style="13" customWidth="1"/>
    <col min="4" max="16384" width="9.140625" style="13" customWidth="1"/>
  </cols>
  <sheetData>
    <row r="3" ht="16.5">
      <c r="B3" s="240" t="s">
        <v>139</v>
      </c>
    </row>
    <row r="5" ht="12.75"/>
    <row r="6" ht="12.75"/>
    <row r="7" ht="12.75">
      <c r="B7" s="98" t="s">
        <v>133</v>
      </c>
    </row>
    <row r="8" ht="12.75"/>
    <row r="9" ht="12.75">
      <c r="B9" s="13" t="s">
        <v>175</v>
      </c>
    </row>
    <row r="10" ht="12.75">
      <c r="B10" s="33" t="s">
        <v>176</v>
      </c>
    </row>
    <row r="11" ht="12.75">
      <c r="B11" s="33" t="s">
        <v>177</v>
      </c>
    </row>
    <row r="12" spans="2:3" ht="12.75">
      <c r="B12" s="33" t="s">
        <v>178</v>
      </c>
      <c r="C12" s="33"/>
    </row>
    <row r="13" spans="2:3" ht="12.75">
      <c r="B13" s="33"/>
      <c r="C13" s="33"/>
    </row>
    <row r="14" ht="12.75">
      <c r="B14" s="239" t="s">
        <v>134</v>
      </c>
    </row>
    <row r="15" ht="12">
      <c r="D15" s="33"/>
    </row>
    <row r="16" spans="2:4" ht="12">
      <c r="B16" s="99" t="s">
        <v>280</v>
      </c>
      <c r="C16" s="100" t="s">
        <v>281</v>
      </c>
      <c r="D16" s="33"/>
    </row>
    <row r="17" spans="2:5" ht="12">
      <c r="B17" s="101" t="s">
        <v>137</v>
      </c>
      <c r="C17" s="13" t="s">
        <v>282</v>
      </c>
      <c r="D17" s="38"/>
      <c r="E17" s="126"/>
    </row>
    <row r="18" spans="2:3" ht="12">
      <c r="B18" s="102" t="s">
        <v>283</v>
      </c>
      <c r="C18" s="13" t="s">
        <v>138</v>
      </c>
    </row>
    <row r="20" spans="2:3" ht="12">
      <c r="B20" s="33"/>
      <c r="C20" s="33"/>
    </row>
    <row r="21" ht="12">
      <c r="B21" s="239" t="s">
        <v>135</v>
      </c>
    </row>
    <row r="23" spans="2:3" ht="12">
      <c r="B23" s="241"/>
      <c r="C23" s="238" t="s">
        <v>136</v>
      </c>
    </row>
    <row r="25" ht="12">
      <c r="B25" s="33"/>
    </row>
    <row r="26" ht="12">
      <c r="B26" s="100"/>
    </row>
  </sheetData>
  <sheetProtection/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74"/>
  <sheetViews>
    <sheetView workbookViewId="0" topLeftCell="A1">
      <selection activeCell="D17" sqref="D17"/>
    </sheetView>
  </sheetViews>
  <sheetFormatPr defaultColWidth="9.140625" defaultRowHeight="12.75"/>
  <cols>
    <col min="1" max="5" width="16.421875" style="13" customWidth="1"/>
    <col min="6" max="16384" width="9.140625" style="13" customWidth="1"/>
  </cols>
  <sheetData>
    <row r="1" ht="12.75" thickBot="1">
      <c r="A1" s="13" t="s">
        <v>143</v>
      </c>
    </row>
    <row r="2" spans="1:5" ht="12">
      <c r="A2" s="573" t="s">
        <v>228</v>
      </c>
      <c r="B2" s="323" t="s">
        <v>229</v>
      </c>
      <c r="C2" s="323" t="s">
        <v>230</v>
      </c>
      <c r="D2" s="323" t="s">
        <v>231</v>
      </c>
      <c r="E2" s="324" t="s">
        <v>232</v>
      </c>
    </row>
    <row r="3" spans="1:5" ht="12.75" thickBot="1">
      <c r="A3" s="574"/>
      <c r="B3" s="325" t="s">
        <v>233</v>
      </c>
      <c r="C3" s="325" t="s">
        <v>234</v>
      </c>
      <c r="D3" s="325" t="s">
        <v>235</v>
      </c>
      <c r="E3" s="324" t="s">
        <v>236</v>
      </c>
    </row>
    <row r="4" spans="1:5" ht="12">
      <c r="A4" s="326" t="s">
        <v>237</v>
      </c>
      <c r="B4" s="327">
        <v>3.05</v>
      </c>
      <c r="C4" s="328">
        <v>8224</v>
      </c>
      <c r="D4" s="327">
        <v>559</v>
      </c>
      <c r="E4" s="236">
        <f aca="true" t="shared" si="0" ref="E4:E16">C4/C$16</f>
        <v>0.06022746413375418</v>
      </c>
    </row>
    <row r="5" spans="1:5" ht="12">
      <c r="A5" s="329" t="s">
        <v>238</v>
      </c>
      <c r="B5" s="330">
        <v>3.78</v>
      </c>
      <c r="C5" s="331">
        <v>9012</v>
      </c>
      <c r="D5" s="330">
        <v>613</v>
      </c>
      <c r="E5" s="236">
        <f t="shared" si="0"/>
        <v>0.0659982863294495</v>
      </c>
    </row>
    <row r="6" spans="1:5" ht="12">
      <c r="A6" s="326" t="s">
        <v>239</v>
      </c>
      <c r="B6" s="327">
        <v>4.82</v>
      </c>
      <c r="C6" s="328">
        <v>12240</v>
      </c>
      <c r="D6" s="327">
        <v>832</v>
      </c>
      <c r="E6" s="236">
        <f t="shared" si="0"/>
        <v>0.0896381518722217</v>
      </c>
    </row>
    <row r="7" spans="1:5" ht="12">
      <c r="A7" s="329" t="s">
        <v>240</v>
      </c>
      <c r="B7" s="330">
        <v>5.49</v>
      </c>
      <c r="C7" s="331">
        <v>13078</v>
      </c>
      <c r="D7" s="330">
        <v>889</v>
      </c>
      <c r="E7" s="236">
        <f t="shared" si="0"/>
        <v>0.09577514298896367</v>
      </c>
    </row>
    <row r="8" spans="1:5" ht="12">
      <c r="A8" s="326" t="s">
        <v>241</v>
      </c>
      <c r="B8" s="327">
        <v>6.07</v>
      </c>
      <c r="C8" s="328">
        <v>14476</v>
      </c>
      <c r="D8" s="327">
        <v>984</v>
      </c>
      <c r="E8" s="236">
        <f t="shared" si="0"/>
        <v>0.10601322602142821</v>
      </c>
    </row>
    <row r="9" spans="1:5" ht="12">
      <c r="A9" s="329" t="s">
        <v>242</v>
      </c>
      <c r="B9" s="330">
        <v>6.4</v>
      </c>
      <c r="C9" s="331">
        <v>14499</v>
      </c>
      <c r="D9" s="330">
        <v>986</v>
      </c>
      <c r="E9" s="236">
        <f t="shared" si="0"/>
        <v>0.10618166372510966</v>
      </c>
    </row>
    <row r="10" spans="1:5" ht="12">
      <c r="A10" s="326" t="s">
        <v>243</v>
      </c>
      <c r="B10" s="327">
        <v>6.38</v>
      </c>
      <c r="C10" s="328">
        <v>14712</v>
      </c>
      <c r="D10" s="328">
        <v>1000</v>
      </c>
      <c r="E10" s="236">
        <f t="shared" si="0"/>
        <v>0.10774154332876842</v>
      </c>
    </row>
    <row r="11" spans="1:5" ht="12">
      <c r="A11" s="329" t="s">
        <v>244</v>
      </c>
      <c r="B11" s="330">
        <v>5.7</v>
      </c>
      <c r="C11" s="331">
        <v>13199</v>
      </c>
      <c r="D11" s="330">
        <v>898</v>
      </c>
      <c r="E11" s="236">
        <f t="shared" si="0"/>
        <v>0.09666127177789657</v>
      </c>
    </row>
    <row r="12" spans="1:5" ht="12">
      <c r="A12" s="326" t="s">
        <v>245</v>
      </c>
      <c r="B12" s="327">
        <v>5.17</v>
      </c>
      <c r="C12" s="328">
        <v>11872</v>
      </c>
      <c r="D12" s="327">
        <v>807</v>
      </c>
      <c r="E12" s="236">
        <f t="shared" si="0"/>
        <v>0.0869431486133183</v>
      </c>
    </row>
    <row r="13" spans="1:5" ht="12">
      <c r="A13" s="329" t="s">
        <v>246</v>
      </c>
      <c r="B13" s="330">
        <v>4.36</v>
      </c>
      <c r="C13" s="331">
        <v>10761</v>
      </c>
      <c r="D13" s="330">
        <v>732</v>
      </c>
      <c r="E13" s="236">
        <f t="shared" si="0"/>
        <v>0.07880687518766157</v>
      </c>
    </row>
    <row r="14" spans="1:5" ht="12">
      <c r="A14" s="326" t="s">
        <v>247</v>
      </c>
      <c r="B14" s="327">
        <v>3.07</v>
      </c>
      <c r="C14" s="328">
        <v>7644</v>
      </c>
      <c r="D14" s="327">
        <v>520</v>
      </c>
      <c r="E14" s="236">
        <f t="shared" si="0"/>
        <v>0.05597990464961296</v>
      </c>
    </row>
    <row r="15" spans="1:5" ht="12.75" thickBot="1">
      <c r="A15" s="329" t="s">
        <v>248</v>
      </c>
      <c r="B15" s="330">
        <v>2.54</v>
      </c>
      <c r="C15" s="331">
        <v>6832</v>
      </c>
      <c r="D15" s="330">
        <v>465</v>
      </c>
      <c r="E15" s="236">
        <f t="shared" si="0"/>
        <v>0.050033321371815244</v>
      </c>
    </row>
    <row r="16" spans="1:5" ht="12.75" thickBot="1">
      <c r="A16" s="332" t="s">
        <v>249</v>
      </c>
      <c r="B16" s="333">
        <v>4.74</v>
      </c>
      <c r="C16" s="334">
        <v>136549</v>
      </c>
      <c r="D16" s="335">
        <v>9285</v>
      </c>
      <c r="E16" s="236">
        <f t="shared" si="0"/>
        <v>1</v>
      </c>
    </row>
    <row r="17" spans="1:3" ht="12">
      <c r="A17" s="13" t="s">
        <v>250</v>
      </c>
      <c r="B17" s="236">
        <f>C16/100/8760</f>
        <v>0.15587785388127853</v>
      </c>
      <c r="C17" s="13">
        <f>Overview!M9</f>
        <v>580.9525862068965</v>
      </c>
    </row>
    <row r="18" ht="12">
      <c r="C18" s="13">
        <f>C16*7.47</f>
        <v>1020021.0299999999</v>
      </c>
    </row>
    <row r="20" ht="12.75" thickBot="1">
      <c r="A20" s="13" t="s">
        <v>141</v>
      </c>
    </row>
    <row r="21" spans="1:5" ht="12">
      <c r="A21" s="573" t="s">
        <v>228</v>
      </c>
      <c r="B21" s="323" t="s">
        <v>229</v>
      </c>
      <c r="C21" s="323" t="s">
        <v>230</v>
      </c>
      <c r="D21" s="323" t="s">
        <v>231</v>
      </c>
      <c r="E21" s="324" t="s">
        <v>232</v>
      </c>
    </row>
    <row r="22" spans="1:5" ht="12.75" thickBot="1">
      <c r="A22" s="574"/>
      <c r="B22" s="325" t="s">
        <v>233</v>
      </c>
      <c r="C22" s="325" t="s">
        <v>234</v>
      </c>
      <c r="D22" s="325" t="s">
        <v>235</v>
      </c>
      <c r="E22" s="324" t="s">
        <v>236</v>
      </c>
    </row>
    <row r="23" spans="1:5" ht="12">
      <c r="A23" s="326" t="s">
        <v>237</v>
      </c>
      <c r="B23" s="327">
        <v>2.48</v>
      </c>
      <c r="C23" s="328">
        <v>6804</v>
      </c>
      <c r="D23" s="327">
        <v>599</v>
      </c>
      <c r="E23" s="236">
        <f>C23/C$35</f>
        <v>0.05317120440123785</v>
      </c>
    </row>
    <row r="24" spans="1:5" ht="12">
      <c r="A24" s="329" t="s">
        <v>238</v>
      </c>
      <c r="B24" s="330">
        <v>3.31</v>
      </c>
      <c r="C24" s="331">
        <v>8060</v>
      </c>
      <c r="D24" s="330">
        <v>709</v>
      </c>
      <c r="E24" s="236">
        <f aca="true" t="shared" si="1" ref="E24:E34">C24/C$35</f>
        <v>0.06298646494326529</v>
      </c>
    </row>
    <row r="25" spans="1:5" ht="12">
      <c r="A25" s="326" t="s">
        <v>239</v>
      </c>
      <c r="B25" s="327">
        <v>4.11</v>
      </c>
      <c r="C25" s="328">
        <v>10946</v>
      </c>
      <c r="D25" s="327">
        <v>963</v>
      </c>
      <c r="E25" s="236">
        <f t="shared" si="1"/>
        <v>0.08553968303585384</v>
      </c>
    </row>
    <row r="26" spans="1:5" ht="12">
      <c r="A26" s="329" t="s">
        <v>240</v>
      </c>
      <c r="B26" s="330">
        <v>5.22</v>
      </c>
      <c r="C26" s="331">
        <v>12821</v>
      </c>
      <c r="D26" s="331">
        <v>1128</v>
      </c>
      <c r="E26" s="236">
        <f t="shared" si="1"/>
        <v>0.10019224156794099</v>
      </c>
    </row>
    <row r="27" spans="1:5" ht="12">
      <c r="A27" s="326" t="s">
        <v>241</v>
      </c>
      <c r="B27" s="327">
        <v>6.14</v>
      </c>
      <c r="C27" s="328">
        <v>14825</v>
      </c>
      <c r="D27" s="328">
        <v>1305</v>
      </c>
      <c r="E27" s="236">
        <f t="shared" si="1"/>
        <v>0.11585289612703573</v>
      </c>
    </row>
    <row r="28" spans="1:5" ht="12">
      <c r="A28" s="329" t="s">
        <v>242</v>
      </c>
      <c r="B28" s="330">
        <v>6.29</v>
      </c>
      <c r="C28" s="331">
        <v>14492</v>
      </c>
      <c r="D28" s="331">
        <v>1275</v>
      </c>
      <c r="E28" s="236">
        <f t="shared" si="1"/>
        <v>0.11325060173173705</v>
      </c>
    </row>
    <row r="29" spans="1:5" ht="12">
      <c r="A29" s="326" t="s">
        <v>243</v>
      </c>
      <c r="B29" s="327">
        <v>6.48</v>
      </c>
      <c r="C29" s="328">
        <v>15067</v>
      </c>
      <c r="D29" s="328">
        <v>1326</v>
      </c>
      <c r="E29" s="236">
        <f t="shared" si="1"/>
        <v>0.11774405301491045</v>
      </c>
    </row>
    <row r="30" spans="1:5" ht="12">
      <c r="A30" s="329" t="s">
        <v>244</v>
      </c>
      <c r="B30" s="330">
        <v>5.45</v>
      </c>
      <c r="C30" s="331">
        <v>12899</v>
      </c>
      <c r="D30" s="331">
        <v>1135</v>
      </c>
      <c r="E30" s="236">
        <f t="shared" si="1"/>
        <v>0.10080178800287581</v>
      </c>
    </row>
    <row r="31" spans="1:5" ht="12">
      <c r="A31" s="326" t="s">
        <v>245</v>
      </c>
      <c r="B31" s="327">
        <v>4.79</v>
      </c>
      <c r="C31" s="328">
        <v>11121</v>
      </c>
      <c r="D31" s="327">
        <v>979</v>
      </c>
      <c r="E31" s="236">
        <f t="shared" si="1"/>
        <v>0.0869072551655153</v>
      </c>
    </row>
    <row r="32" spans="1:5" ht="12">
      <c r="A32" s="329" t="s">
        <v>246</v>
      </c>
      <c r="B32" s="330">
        <v>3.81</v>
      </c>
      <c r="C32" s="331">
        <v>9598</v>
      </c>
      <c r="D32" s="330">
        <v>845</v>
      </c>
      <c r="E32" s="236">
        <f t="shared" si="1"/>
        <v>0.07500547028851864</v>
      </c>
    </row>
    <row r="33" spans="1:5" ht="12">
      <c r="A33" s="326" t="s">
        <v>247</v>
      </c>
      <c r="B33" s="327">
        <v>2.42</v>
      </c>
      <c r="C33" s="328">
        <v>6143</v>
      </c>
      <c r="D33" s="327">
        <v>541</v>
      </c>
      <c r="E33" s="236">
        <f t="shared" si="1"/>
        <v>0.04800568910005939</v>
      </c>
    </row>
    <row r="34" spans="1:5" ht="12.75" thickBot="1">
      <c r="A34" s="329" t="s">
        <v>248</v>
      </c>
      <c r="B34" s="330">
        <v>1.9</v>
      </c>
      <c r="C34" s="331">
        <v>5188</v>
      </c>
      <c r="D34" s="330">
        <v>457</v>
      </c>
      <c r="E34" s="236">
        <f t="shared" si="1"/>
        <v>0.04054265262104967</v>
      </c>
    </row>
    <row r="35" spans="1:5" ht="12.75" thickBot="1">
      <c r="A35" s="332" t="s">
        <v>249</v>
      </c>
      <c r="B35" s="333">
        <v>4.37</v>
      </c>
      <c r="C35" s="334">
        <v>127964</v>
      </c>
      <c r="D35" s="335">
        <v>11262</v>
      </c>
      <c r="E35" s="236">
        <f>C35/C$35</f>
        <v>1</v>
      </c>
    </row>
    <row r="36" spans="1:2" ht="12">
      <c r="A36" s="13" t="s">
        <v>250</v>
      </c>
      <c r="B36" s="236">
        <f>C35/100/8760</f>
        <v>0.14607762557077628</v>
      </c>
    </row>
    <row r="39" ht="12.75" thickBot="1">
      <c r="A39" s="13" t="s">
        <v>140</v>
      </c>
    </row>
    <row r="40" spans="1:5" ht="12">
      <c r="A40" s="573" t="s">
        <v>228</v>
      </c>
      <c r="B40" s="323" t="s">
        <v>229</v>
      </c>
      <c r="C40" s="323" t="s">
        <v>230</v>
      </c>
      <c r="D40" s="323" t="s">
        <v>231</v>
      </c>
      <c r="E40" s="324" t="s">
        <v>232</v>
      </c>
    </row>
    <row r="41" spans="1:5" ht="12.75" thickBot="1">
      <c r="A41" s="574"/>
      <c r="B41" s="325" t="s">
        <v>233</v>
      </c>
      <c r="C41" s="325" t="s">
        <v>234</v>
      </c>
      <c r="D41" s="325" t="s">
        <v>235</v>
      </c>
      <c r="E41" s="324" t="s">
        <v>236</v>
      </c>
    </row>
    <row r="42" spans="1:5" ht="12">
      <c r="A42" s="326" t="s">
        <v>237</v>
      </c>
      <c r="B42" s="327">
        <v>2.73</v>
      </c>
      <c r="C42" s="328">
        <v>7587</v>
      </c>
      <c r="D42" s="327">
        <v>668</v>
      </c>
      <c r="E42" s="236">
        <f aca="true" t="shared" si="2" ref="E42:E54">C42/C$54</f>
        <v>0.05811833558034073</v>
      </c>
    </row>
    <row r="43" spans="1:5" ht="12">
      <c r="A43" s="329" t="s">
        <v>238</v>
      </c>
      <c r="B43" s="330">
        <v>3.6</v>
      </c>
      <c r="C43" s="331">
        <v>8808</v>
      </c>
      <c r="D43" s="330">
        <v>775</v>
      </c>
      <c r="E43" s="236">
        <f t="shared" si="2"/>
        <v>0.06747150386076725</v>
      </c>
    </row>
    <row r="44" spans="1:5" ht="12">
      <c r="A44" s="326" t="s">
        <v>239</v>
      </c>
      <c r="B44" s="327">
        <v>4.36</v>
      </c>
      <c r="C44" s="328">
        <v>11686</v>
      </c>
      <c r="D44" s="328">
        <v>1028</v>
      </c>
      <c r="E44" s="236">
        <f t="shared" si="2"/>
        <v>0.0895177105037382</v>
      </c>
    </row>
    <row r="45" spans="1:5" ht="12">
      <c r="A45" s="329" t="s">
        <v>240</v>
      </c>
      <c r="B45" s="330">
        <v>5.12</v>
      </c>
      <c r="C45" s="331">
        <v>12548</v>
      </c>
      <c r="D45" s="331">
        <v>1104</v>
      </c>
      <c r="E45" s="236">
        <f t="shared" si="2"/>
        <v>0.0961208481431548</v>
      </c>
    </row>
    <row r="46" spans="1:5" ht="12">
      <c r="A46" s="326" t="s">
        <v>241</v>
      </c>
      <c r="B46" s="327">
        <v>5.82</v>
      </c>
      <c r="C46" s="328">
        <v>14337</v>
      </c>
      <c r="D46" s="328">
        <v>1262</v>
      </c>
      <c r="E46" s="236">
        <f t="shared" si="2"/>
        <v>0.1098250398333129</v>
      </c>
    </row>
    <row r="47" spans="1:5" ht="12">
      <c r="A47" s="329" t="s">
        <v>242</v>
      </c>
      <c r="B47" s="330">
        <v>6.29</v>
      </c>
      <c r="C47" s="331">
        <v>14574</v>
      </c>
      <c r="D47" s="331">
        <v>1283</v>
      </c>
      <c r="E47" s="236">
        <f t="shared" si="2"/>
        <v>0.11164051967152837</v>
      </c>
    </row>
    <row r="48" spans="1:5" ht="12">
      <c r="A48" s="326" t="s">
        <v>243</v>
      </c>
      <c r="B48" s="327">
        <v>6.32</v>
      </c>
      <c r="C48" s="328">
        <v>14867</v>
      </c>
      <c r="D48" s="328">
        <v>1308</v>
      </c>
      <c r="E48" s="236">
        <f t="shared" si="2"/>
        <v>0.11388497364873146</v>
      </c>
    </row>
    <row r="49" spans="1:5" ht="12">
      <c r="A49" s="329" t="s">
        <v>244</v>
      </c>
      <c r="B49" s="330">
        <v>5.55</v>
      </c>
      <c r="C49" s="331">
        <v>13095</v>
      </c>
      <c r="D49" s="331">
        <v>1152</v>
      </c>
      <c r="E49" s="236">
        <f t="shared" si="2"/>
        <v>0.10031100625076603</v>
      </c>
    </row>
    <row r="50" spans="1:5" ht="12">
      <c r="A50" s="326" t="s">
        <v>245</v>
      </c>
      <c r="B50" s="327">
        <v>5.06</v>
      </c>
      <c r="C50" s="328">
        <v>11871</v>
      </c>
      <c r="D50" s="328">
        <v>1045</v>
      </c>
      <c r="E50" s="236">
        <f t="shared" si="2"/>
        <v>0.09093485721289374</v>
      </c>
    </row>
    <row r="51" spans="1:5" ht="12">
      <c r="A51" s="329" t="s">
        <v>246</v>
      </c>
      <c r="B51" s="330">
        <v>3.94</v>
      </c>
      <c r="C51" s="331">
        <v>9898</v>
      </c>
      <c r="D51" s="330">
        <v>871</v>
      </c>
      <c r="E51" s="236">
        <f t="shared" si="2"/>
        <v>0.07582117906606202</v>
      </c>
    </row>
    <row r="52" spans="1:5" ht="12">
      <c r="A52" s="326" t="s">
        <v>247</v>
      </c>
      <c r="B52" s="327">
        <v>2.39</v>
      </c>
      <c r="C52" s="328">
        <v>6069</v>
      </c>
      <c r="D52" s="327">
        <v>534</v>
      </c>
      <c r="E52" s="236">
        <f t="shared" si="2"/>
        <v>0.04649007231278343</v>
      </c>
    </row>
    <row r="53" spans="1:5" ht="12.75" thickBot="1">
      <c r="A53" s="329" t="s">
        <v>248</v>
      </c>
      <c r="B53" s="330">
        <v>1.89</v>
      </c>
      <c r="C53" s="331">
        <v>5204</v>
      </c>
      <c r="D53" s="330">
        <v>458</v>
      </c>
      <c r="E53" s="236">
        <f t="shared" si="2"/>
        <v>0.03986395391592107</v>
      </c>
    </row>
    <row r="54" spans="1:5" ht="12.75" thickBot="1">
      <c r="A54" s="332" t="s">
        <v>249</v>
      </c>
      <c r="B54" s="333">
        <v>4.42</v>
      </c>
      <c r="C54" s="334">
        <v>130544</v>
      </c>
      <c r="D54" s="335">
        <v>11488</v>
      </c>
      <c r="E54" s="236">
        <f t="shared" si="2"/>
        <v>1</v>
      </c>
    </row>
    <row r="55" spans="1:2" ht="12">
      <c r="A55" s="13" t="s">
        <v>250</v>
      </c>
      <c r="B55" s="236">
        <f>C54/100/8760</f>
        <v>0.14902283105022832</v>
      </c>
    </row>
    <row r="58" ht="12.75" thickBot="1">
      <c r="A58" s="13" t="s">
        <v>251</v>
      </c>
    </row>
    <row r="59" spans="1:5" ht="12">
      <c r="A59" s="573" t="s">
        <v>228</v>
      </c>
      <c r="B59" s="323" t="s">
        <v>229</v>
      </c>
      <c r="C59" s="323" t="s">
        <v>230</v>
      </c>
      <c r="D59" s="323" t="s">
        <v>231</v>
      </c>
      <c r="E59" s="324" t="s">
        <v>232</v>
      </c>
    </row>
    <row r="60" spans="1:5" ht="12.75" thickBot="1">
      <c r="A60" s="574"/>
      <c r="B60" s="325" t="s">
        <v>233</v>
      </c>
      <c r="C60" s="325" t="s">
        <v>234</v>
      </c>
      <c r="D60" s="325" t="s">
        <v>235</v>
      </c>
      <c r="E60" s="324" t="s">
        <v>236</v>
      </c>
    </row>
    <row r="61" spans="1:5" ht="12">
      <c r="A61" s="326" t="s">
        <v>237</v>
      </c>
      <c r="B61" s="327">
        <v>3.06</v>
      </c>
      <c r="C61" s="328">
        <v>8395</v>
      </c>
      <c r="D61" s="327">
        <v>647</v>
      </c>
      <c r="E61" s="236">
        <f aca="true" t="shared" si="3" ref="E61:E73">C61/C$73</f>
        <v>0.06088186235405033</v>
      </c>
    </row>
    <row r="62" spans="1:5" ht="12">
      <c r="A62" s="329" t="s">
        <v>238</v>
      </c>
      <c r="B62" s="330">
        <v>3.9</v>
      </c>
      <c r="C62" s="331">
        <v>9561</v>
      </c>
      <c r="D62" s="330">
        <v>737</v>
      </c>
      <c r="E62" s="236">
        <f t="shared" si="3"/>
        <v>0.06933787801871057</v>
      </c>
    </row>
    <row r="63" spans="1:5" ht="12">
      <c r="A63" s="326" t="s">
        <v>239</v>
      </c>
      <c r="B63" s="327">
        <v>4.37</v>
      </c>
      <c r="C63" s="328">
        <v>11387</v>
      </c>
      <c r="D63" s="327">
        <v>878</v>
      </c>
      <c r="E63" s="236">
        <f t="shared" si="3"/>
        <v>0.08258031764449923</v>
      </c>
    </row>
    <row r="64" spans="1:5" ht="12">
      <c r="A64" s="329" t="s">
        <v>240</v>
      </c>
      <c r="B64" s="330">
        <v>5.66</v>
      </c>
      <c r="C64" s="331">
        <v>13731</v>
      </c>
      <c r="D64" s="331">
        <v>1059</v>
      </c>
      <c r="E64" s="236">
        <f t="shared" si="3"/>
        <v>0.09957937486402205</v>
      </c>
    </row>
    <row r="65" spans="1:5" ht="12">
      <c r="A65" s="326" t="s">
        <v>241</v>
      </c>
      <c r="B65" s="327">
        <v>6.01</v>
      </c>
      <c r="C65" s="328">
        <v>14492</v>
      </c>
      <c r="D65" s="328">
        <v>1117</v>
      </c>
      <c r="E65" s="236">
        <f t="shared" si="3"/>
        <v>0.10509826673435348</v>
      </c>
    </row>
    <row r="66" spans="1:5" ht="12">
      <c r="A66" s="329" t="s">
        <v>242</v>
      </c>
      <c r="B66" s="330">
        <v>6.6</v>
      </c>
      <c r="C66" s="331">
        <v>14983</v>
      </c>
      <c r="D66" s="331">
        <v>1155</v>
      </c>
      <c r="E66" s="236">
        <f t="shared" si="3"/>
        <v>0.10865907607513235</v>
      </c>
    </row>
    <row r="67" spans="1:5" ht="12">
      <c r="A67" s="326" t="s">
        <v>243</v>
      </c>
      <c r="B67" s="327">
        <v>6.56</v>
      </c>
      <c r="C67" s="328">
        <v>15245</v>
      </c>
      <c r="D67" s="328">
        <v>1175</v>
      </c>
      <c r="E67" s="236">
        <f t="shared" si="3"/>
        <v>0.11055914134455</v>
      </c>
    </row>
    <row r="68" spans="1:5" ht="12">
      <c r="A68" s="329" t="s">
        <v>244</v>
      </c>
      <c r="B68" s="330">
        <v>5.94</v>
      </c>
      <c r="C68" s="331">
        <v>13812</v>
      </c>
      <c r="D68" s="331">
        <v>1065</v>
      </c>
      <c r="E68" s="236">
        <f t="shared" si="3"/>
        <v>0.10016679962288781</v>
      </c>
    </row>
    <row r="69" spans="1:5" ht="12">
      <c r="A69" s="326" t="s">
        <v>245</v>
      </c>
      <c r="B69" s="327">
        <v>5.13</v>
      </c>
      <c r="C69" s="328">
        <v>11737</v>
      </c>
      <c r="D69" s="327">
        <v>905</v>
      </c>
      <c r="E69" s="236">
        <f t="shared" si="3"/>
        <v>0.08511857277540068</v>
      </c>
    </row>
    <row r="70" spans="1:5" ht="12">
      <c r="A70" s="329" t="s">
        <v>246</v>
      </c>
      <c r="B70" s="330">
        <v>4.38</v>
      </c>
      <c r="C70" s="331">
        <v>10813</v>
      </c>
      <c r="D70" s="330">
        <v>834</v>
      </c>
      <c r="E70" s="236">
        <f t="shared" si="3"/>
        <v>0.07841757922982087</v>
      </c>
    </row>
    <row r="71" spans="1:5" ht="12">
      <c r="A71" s="326" t="s">
        <v>247</v>
      </c>
      <c r="B71" s="327">
        <v>2.87</v>
      </c>
      <c r="C71" s="328">
        <v>7200</v>
      </c>
      <c r="D71" s="327">
        <v>555</v>
      </c>
      <c r="E71" s="236">
        <f t="shared" si="3"/>
        <v>0.05221553412140112</v>
      </c>
    </row>
    <row r="72" spans="1:5" ht="12.75" thickBot="1">
      <c r="A72" s="329" t="s">
        <v>248</v>
      </c>
      <c r="B72" s="330">
        <v>2.41</v>
      </c>
      <c r="C72" s="331">
        <v>6534</v>
      </c>
      <c r="D72" s="330">
        <v>504</v>
      </c>
      <c r="E72" s="236">
        <f t="shared" si="3"/>
        <v>0.047385597215171514</v>
      </c>
    </row>
    <row r="73" spans="1:5" ht="12.75" thickBot="1">
      <c r="A73" s="332" t="s">
        <v>249</v>
      </c>
      <c r="B73" s="333">
        <v>4.74</v>
      </c>
      <c r="C73" s="334">
        <v>137890</v>
      </c>
      <c r="D73" s="335">
        <v>10631</v>
      </c>
      <c r="E73" s="236">
        <f t="shared" si="3"/>
        <v>1</v>
      </c>
    </row>
    <row r="74" spans="1:2" ht="12">
      <c r="A74" s="13" t="s">
        <v>250</v>
      </c>
      <c r="B74" s="236">
        <f>C73/100/8760</f>
        <v>0.15740867579908677</v>
      </c>
    </row>
  </sheetData>
  <sheetProtection/>
  <mergeCells count="4">
    <mergeCell ref="A2:A3"/>
    <mergeCell ref="A21:A22"/>
    <mergeCell ref="A40:A41"/>
    <mergeCell ref="A59:A60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G23" sqref="G23"/>
    </sheetView>
  </sheetViews>
  <sheetFormatPr defaultColWidth="8.8515625" defaultRowHeight="12.75"/>
  <cols>
    <col min="1" max="1" width="13.28125" style="0" customWidth="1"/>
    <col min="2" max="2" width="11.421875" style="0" customWidth="1"/>
    <col min="3" max="3" width="10.8515625" style="0" customWidth="1"/>
    <col min="4" max="6" width="11.421875" style="0" customWidth="1"/>
    <col min="7" max="7" width="5.421875" style="0" customWidth="1"/>
    <col min="8" max="8" width="17.140625" style="0" customWidth="1"/>
    <col min="9" max="9" width="11.00390625" style="0" bestFit="1" customWidth="1"/>
    <col min="10" max="10" width="14.00390625" style="0" bestFit="1" customWidth="1"/>
    <col min="11" max="11" width="11.28125" style="0" bestFit="1" customWidth="1"/>
    <col min="12" max="12" width="10.7109375" style="0" bestFit="1" customWidth="1"/>
  </cols>
  <sheetData>
    <row r="1" spans="1:2" ht="14.25" customHeight="1">
      <c r="A1" t="s">
        <v>377</v>
      </c>
      <c r="B1" t="str">
        <f>Overview!$C$5</f>
        <v>16750 W. Ancona Avenue, Old Mill Creek, Illinois (West Property)</v>
      </c>
    </row>
    <row r="2" spans="1:2" ht="14.25" customHeight="1">
      <c r="A2" s="13" t="s">
        <v>378</v>
      </c>
      <c r="B2" s="487">
        <v>0.035</v>
      </c>
    </row>
    <row r="4" ht="12.75" thickBot="1"/>
    <row r="5" spans="1:12" ht="12">
      <c r="A5" s="575" t="s">
        <v>4</v>
      </c>
      <c r="B5" s="577" t="s">
        <v>379</v>
      </c>
      <c r="C5" s="577"/>
      <c r="D5" s="577"/>
      <c r="E5" s="578"/>
      <c r="F5" s="465"/>
      <c r="H5" s="579" t="s">
        <v>4</v>
      </c>
      <c r="I5" s="581" t="s">
        <v>380</v>
      </c>
      <c r="J5" s="581"/>
      <c r="K5" s="581"/>
      <c r="L5" s="582"/>
    </row>
    <row r="6" spans="1:12" ht="12.75" thickBot="1">
      <c r="A6" s="576"/>
      <c r="B6" s="488" t="s">
        <v>381</v>
      </c>
      <c r="C6" s="488" t="s">
        <v>260</v>
      </c>
      <c r="D6" s="488" t="s">
        <v>255</v>
      </c>
      <c r="E6" s="489" t="s">
        <v>183</v>
      </c>
      <c r="H6" s="580"/>
      <c r="I6" s="490" t="s">
        <v>381</v>
      </c>
      <c r="J6" s="490" t="s">
        <v>260</v>
      </c>
      <c r="K6" s="490" t="s">
        <v>255</v>
      </c>
      <c r="L6" s="491" t="s">
        <v>183</v>
      </c>
    </row>
    <row r="7" spans="1:12" ht="12">
      <c r="A7" s="492">
        <v>0</v>
      </c>
      <c r="B7" s="493">
        <v>0</v>
      </c>
      <c r="C7" s="493">
        <f>-Dashboard!L8</f>
        <v>-1742857.7586206894</v>
      </c>
      <c r="D7" s="493">
        <v>0</v>
      </c>
      <c r="E7" s="493">
        <v>0</v>
      </c>
      <c r="F7" s="494"/>
      <c r="H7" s="495">
        <v>0</v>
      </c>
      <c r="I7" s="496">
        <f aca="true" t="shared" si="0" ref="I7:I27">B7-B7</f>
        <v>0</v>
      </c>
      <c r="J7" s="496">
        <f>C7</f>
        <v>-1742857.7586206894</v>
      </c>
      <c r="K7" s="496">
        <f>B7-E7</f>
        <v>0</v>
      </c>
      <c r="L7" s="497">
        <v>0</v>
      </c>
    </row>
    <row r="8" spans="1:12" ht="12">
      <c r="A8" s="498">
        <v>1</v>
      </c>
      <c r="B8" s="499">
        <f>Dashboard!K12*Dashboard!$D$50</f>
        <v>54619.71090621702</v>
      </c>
      <c r="C8" s="499">
        <f>(Dashboard!$G$50-Dashboard!$D$50)*Dashboard!K12</f>
        <v>26129.486822237563</v>
      </c>
      <c r="D8" s="499">
        <f>Dashboard!M12*Dashboard!$D$50</f>
        <v>62926.998454898785</v>
      </c>
      <c r="E8" s="499">
        <f>Dashboard!N12*Dashboard!$D$50</f>
        <v>57737.10531047796</v>
      </c>
      <c r="F8" s="494"/>
      <c r="H8" s="500">
        <v>1</v>
      </c>
      <c r="I8" s="501">
        <f t="shared" si="0"/>
        <v>0</v>
      </c>
      <c r="J8" s="501">
        <f aca="true" t="shared" si="1" ref="J8:J27">B8-C8</f>
        <v>28490.224083979458</v>
      </c>
      <c r="K8" s="501">
        <f aca="true" t="shared" si="2" ref="K8:K27">B8-D8</f>
        <v>-8307.287548681765</v>
      </c>
      <c r="L8" s="502">
        <f aca="true" t="shared" si="3" ref="L8:L27">B8-E8</f>
        <v>-3117.3944042609364</v>
      </c>
    </row>
    <row r="9" spans="1:12" ht="12">
      <c r="A9" s="498">
        <f>A8+1</f>
        <v>2</v>
      </c>
      <c r="B9" s="499">
        <f>Dashboard!K13*Dashboard!$D$50</f>
        <v>55165.90801527919</v>
      </c>
      <c r="C9" s="499">
        <f>(Dashboard!$G$50-Dashboard!$D$50)*Dashboard!K13</f>
        <v>26390.78169045994</v>
      </c>
      <c r="D9" s="499">
        <f>Dashboard!M13*Dashboard!$D$50</f>
        <v>62926.998454898785</v>
      </c>
      <c r="E9" s="499">
        <f>Dashboard!N13*Dashboard!$D$50</f>
        <v>57737.10531047796</v>
      </c>
      <c r="F9" s="494"/>
      <c r="H9" s="500">
        <f>H8+1</f>
        <v>2</v>
      </c>
      <c r="I9" s="501">
        <f t="shared" si="0"/>
        <v>0</v>
      </c>
      <c r="J9" s="501">
        <f t="shared" si="1"/>
        <v>28775.126324819248</v>
      </c>
      <c r="K9" s="501">
        <f t="shared" si="2"/>
        <v>-7761.090439619598</v>
      </c>
      <c r="L9" s="502">
        <f t="shared" si="3"/>
        <v>-2571.19729519877</v>
      </c>
    </row>
    <row r="10" spans="1:12" ht="12">
      <c r="A10" s="498">
        <f aca="true" t="shared" si="4" ref="A10:A27">A9+1</f>
        <v>3</v>
      </c>
      <c r="B10" s="499">
        <f>Dashboard!K14*Dashboard!$D$50</f>
        <v>55717.56709543198</v>
      </c>
      <c r="C10" s="499">
        <f>(Dashboard!$G$50-Dashboard!$D$50)*Dashboard!K14</f>
        <v>26654.689507364536</v>
      </c>
      <c r="D10" s="499">
        <f>Dashboard!M14*Dashboard!$D$50</f>
        <v>62926.998454898785</v>
      </c>
      <c r="E10" s="499">
        <f>Dashboard!N14*Dashboard!$D$50</f>
        <v>57737.10531047796</v>
      </c>
      <c r="F10" s="494"/>
      <c r="H10" s="500">
        <f aca="true" t="shared" si="5" ref="H10:H27">H9+1</f>
        <v>3</v>
      </c>
      <c r="I10" s="501">
        <f t="shared" si="0"/>
        <v>0</v>
      </c>
      <c r="J10" s="501">
        <f t="shared" si="1"/>
        <v>29062.877588067444</v>
      </c>
      <c r="K10" s="501">
        <f t="shared" si="2"/>
        <v>-7209.431359466806</v>
      </c>
      <c r="L10" s="502">
        <f t="shared" si="3"/>
        <v>-2019.5382150459773</v>
      </c>
    </row>
    <row r="11" spans="1:12" ht="12">
      <c r="A11" s="498">
        <f t="shared" si="4"/>
        <v>4</v>
      </c>
      <c r="B11" s="499">
        <f>Dashboard!K15*Dashboard!$D$50</f>
        <v>56274.742766386305</v>
      </c>
      <c r="C11" s="499">
        <f>(Dashboard!$G$50-Dashboard!$D$50)*Dashboard!K15</f>
        <v>26921.236402438186</v>
      </c>
      <c r="D11" s="499">
        <f>Dashboard!M15*Dashboard!$D$50</f>
        <v>62926.998454898785</v>
      </c>
      <c r="E11" s="499">
        <f>Dashboard!N15*Dashboard!$D$50</f>
        <v>57737.10531047796</v>
      </c>
      <c r="F11" s="494"/>
      <c r="H11" s="500">
        <f t="shared" si="5"/>
        <v>4</v>
      </c>
      <c r="I11" s="501">
        <f t="shared" si="0"/>
        <v>0</v>
      </c>
      <c r="J11" s="501">
        <f t="shared" si="1"/>
        <v>29353.50636394812</v>
      </c>
      <c r="K11" s="501">
        <f t="shared" si="2"/>
        <v>-6652.2556885124795</v>
      </c>
      <c r="L11" s="502">
        <f t="shared" si="3"/>
        <v>-1462.3625440916512</v>
      </c>
    </row>
    <row r="12" spans="1:12" ht="12">
      <c r="A12" s="498">
        <f t="shared" si="4"/>
        <v>5</v>
      </c>
      <c r="B12" s="499">
        <f>Dashboard!K16*Dashboard!$D$50</f>
        <v>56837.490194050166</v>
      </c>
      <c r="C12" s="499">
        <f>(Dashboard!$G$50-Dashboard!$D$50)*Dashboard!K16</f>
        <v>27190.448766462563</v>
      </c>
      <c r="D12" s="499">
        <f>Dashboard!M16*Dashboard!$D$50</f>
        <v>62926.998454898785</v>
      </c>
      <c r="E12" s="499">
        <f>Dashboard!N16*Dashboard!$D$50</f>
        <v>57737.10531047796</v>
      </c>
      <c r="F12" s="494"/>
      <c r="H12" s="500">
        <f t="shared" si="5"/>
        <v>5</v>
      </c>
      <c r="I12" s="501">
        <f t="shared" si="0"/>
        <v>0</v>
      </c>
      <c r="J12" s="501">
        <f t="shared" si="1"/>
        <v>29647.041427587603</v>
      </c>
      <c r="K12" s="501">
        <f t="shared" si="2"/>
        <v>-6089.508260848619</v>
      </c>
      <c r="L12" s="502">
        <f t="shared" si="3"/>
        <v>-899.6151164277908</v>
      </c>
    </row>
    <row r="13" spans="1:12" ht="12">
      <c r="A13" s="498">
        <f t="shared" si="4"/>
        <v>6</v>
      </c>
      <c r="B13" s="499">
        <f>Dashboard!K17*Dashboard!$D$50</f>
        <v>57405.86509599067</v>
      </c>
      <c r="C13" s="499">
        <f>(Dashboard!$G$50-Dashboard!$D$50)*Dashboard!K17</f>
        <v>27462.353254127192</v>
      </c>
      <c r="D13" s="499">
        <f>Dashboard!M17*Dashboard!$D$50</f>
        <v>62926.998454898785</v>
      </c>
      <c r="E13" s="499">
        <f>Dashboard!N17*Dashboard!$D$50</f>
        <v>57737.10531047796</v>
      </c>
      <c r="F13" s="494"/>
      <c r="H13" s="500">
        <f t="shared" si="5"/>
        <v>6</v>
      </c>
      <c r="I13" s="501">
        <f t="shared" si="0"/>
        <v>0</v>
      </c>
      <c r="J13" s="501">
        <f t="shared" si="1"/>
        <v>29943.51184186348</v>
      </c>
      <c r="K13" s="501">
        <f t="shared" si="2"/>
        <v>-5521.133358908111</v>
      </c>
      <c r="L13" s="502">
        <f t="shared" si="3"/>
        <v>-331.2402144872831</v>
      </c>
    </row>
    <row r="14" spans="1:12" ht="12">
      <c r="A14" s="498">
        <f t="shared" si="4"/>
        <v>7</v>
      </c>
      <c r="B14" s="499">
        <f>Dashboard!K18*Dashboard!$D$50</f>
        <v>57979.92374695059</v>
      </c>
      <c r="C14" s="499">
        <f>(Dashboard!$G$50-Dashboard!$D$50)*Dashboard!K18</f>
        <v>27736.976786668467</v>
      </c>
      <c r="D14" s="499">
        <f>Dashboard!M18*Dashboard!$D$50</f>
        <v>62926.998454898785</v>
      </c>
      <c r="E14" s="499">
        <f>Dashboard!N18*Dashboard!$D$50</f>
        <v>57737.10531047796</v>
      </c>
      <c r="F14" s="494"/>
      <c r="H14" s="500">
        <f t="shared" si="5"/>
        <v>7</v>
      </c>
      <c r="I14" s="501">
        <f t="shared" si="0"/>
        <v>0</v>
      </c>
      <c r="J14" s="501">
        <f t="shared" si="1"/>
        <v>30242.946960282123</v>
      </c>
      <c r="K14" s="501">
        <f t="shared" si="2"/>
        <v>-4947.074707948195</v>
      </c>
      <c r="L14" s="502">
        <f t="shared" si="3"/>
        <v>242.81843647263304</v>
      </c>
    </row>
    <row r="15" spans="1:12" ht="12">
      <c r="A15" s="498">
        <f t="shared" si="4"/>
        <v>8</v>
      </c>
      <c r="B15" s="499">
        <f>Dashboard!K19*Dashboard!$D$50</f>
        <v>58559.722984420085</v>
      </c>
      <c r="C15" s="499">
        <f>(Dashboard!$G$50-Dashboard!$D$50)*Dashboard!K19</f>
        <v>28014.34655453515</v>
      </c>
      <c r="D15" s="499">
        <f>Dashboard!M19*Dashboard!$D$50</f>
        <v>62926.998454898785</v>
      </c>
      <c r="E15" s="499">
        <f>Dashboard!N19*Dashboard!$D$50</f>
        <v>57737.10531047796</v>
      </c>
      <c r="F15" s="494"/>
      <c r="H15" s="500">
        <f t="shared" si="5"/>
        <v>8</v>
      </c>
      <c r="I15" s="501">
        <f t="shared" si="0"/>
        <v>0</v>
      </c>
      <c r="J15" s="501">
        <f t="shared" si="1"/>
        <v>30545.376429884935</v>
      </c>
      <c r="K15" s="501">
        <f t="shared" si="2"/>
        <v>-4367.2754704787</v>
      </c>
      <c r="L15" s="502">
        <f t="shared" si="3"/>
        <v>822.617673942128</v>
      </c>
    </row>
    <row r="16" spans="1:12" ht="12">
      <c r="A16" s="498">
        <f t="shared" si="4"/>
        <v>9</v>
      </c>
      <c r="B16" s="499">
        <f>Dashboard!K20*Dashboard!$D$50</f>
        <v>59145.320214264284</v>
      </c>
      <c r="C16" s="499">
        <f>(Dashboard!$G$50-Dashboard!$D$50)*Dashboard!K20</f>
        <v>28294.4900200805</v>
      </c>
      <c r="D16" s="499">
        <f>Dashboard!M20*Dashboard!$D$50</f>
        <v>62926.998454898785</v>
      </c>
      <c r="E16" s="499">
        <f>Dashboard!N20*Dashboard!$D$50</f>
        <v>57737.10531047796</v>
      </c>
      <c r="F16" s="494"/>
      <c r="H16" s="500">
        <f t="shared" si="5"/>
        <v>9</v>
      </c>
      <c r="I16" s="501">
        <f t="shared" si="0"/>
        <v>0</v>
      </c>
      <c r="J16" s="501">
        <f t="shared" si="1"/>
        <v>30850.830194183785</v>
      </c>
      <c r="K16" s="501">
        <f t="shared" si="2"/>
        <v>-3781.678240634501</v>
      </c>
      <c r="L16" s="502">
        <f t="shared" si="3"/>
        <v>1408.2149037863273</v>
      </c>
    </row>
    <row r="17" spans="1:12" ht="12">
      <c r="A17" s="498">
        <f t="shared" si="4"/>
        <v>10</v>
      </c>
      <c r="B17" s="499">
        <f>Dashboard!K21*Dashboard!$D$50</f>
        <v>59736.773416406926</v>
      </c>
      <c r="C17" s="499">
        <f>(Dashboard!$G$50-Dashboard!$D$50)*Dashboard!K21</f>
        <v>28577.434920281306</v>
      </c>
      <c r="D17" s="499">
        <f>Dashboard!M21*Dashboard!$D$50</f>
        <v>62926.998454898785</v>
      </c>
      <c r="E17" s="499">
        <f>Dashboard!N21*Dashboard!$D$50</f>
        <v>57737.10531047796</v>
      </c>
      <c r="F17" s="494"/>
      <c r="H17" s="500">
        <f t="shared" si="5"/>
        <v>10</v>
      </c>
      <c r="I17" s="501">
        <f t="shared" si="0"/>
        <v>0</v>
      </c>
      <c r="J17" s="501">
        <f t="shared" si="1"/>
        <v>31159.33849612562</v>
      </c>
      <c r="K17" s="501">
        <f t="shared" si="2"/>
        <v>-3190.225038491859</v>
      </c>
      <c r="L17" s="502">
        <f t="shared" si="3"/>
        <v>1999.6681059289695</v>
      </c>
    </row>
    <row r="18" spans="1:12" ht="12">
      <c r="A18" s="498">
        <f t="shared" si="4"/>
        <v>11</v>
      </c>
      <c r="B18" s="499">
        <f>Dashboard!K22*Dashboard!$D$50</f>
        <v>60334.14115057099</v>
      </c>
      <c r="C18" s="499">
        <f>(Dashboard!$G$50-Dashboard!$D$50)*Dashboard!K22</f>
        <v>28863.209269484116</v>
      </c>
      <c r="D18" s="499">
        <f>Dashboard!M22*Dashboard!$D$50</f>
        <v>62926.998454898785</v>
      </c>
      <c r="E18" s="499">
        <f>Dashboard!N22*Dashboard!$D$50</f>
        <v>57737.10531047796</v>
      </c>
      <c r="F18" s="494"/>
      <c r="H18" s="500">
        <f t="shared" si="5"/>
        <v>11</v>
      </c>
      <c r="I18" s="501">
        <f t="shared" si="0"/>
        <v>0</v>
      </c>
      <c r="J18" s="501">
        <f t="shared" si="1"/>
        <v>31470.931881086875</v>
      </c>
      <c r="K18" s="501">
        <f t="shared" si="2"/>
        <v>-2592.857304327794</v>
      </c>
      <c r="L18" s="502">
        <f t="shared" si="3"/>
        <v>2597.0358400930345</v>
      </c>
    </row>
    <row r="19" spans="1:12" ht="12">
      <c r="A19" s="498">
        <f t="shared" si="4"/>
        <v>12</v>
      </c>
      <c r="B19" s="499">
        <f>Dashboard!K23*Dashboard!$D$50</f>
        <v>60937.48256207671</v>
      </c>
      <c r="C19" s="499">
        <f>(Dashboard!$G$50-Dashboard!$D$50)*Dashboard!K23</f>
        <v>29151.84136217896</v>
      </c>
      <c r="D19" s="499">
        <f>Dashboard!M23*Dashboard!$D$50</f>
        <v>62926.998454898785</v>
      </c>
      <c r="E19" s="499">
        <f>Dashboard!N23*Dashboard!$D$50</f>
        <v>57737.10531047796</v>
      </c>
      <c r="F19" s="494"/>
      <c r="H19" s="500">
        <f t="shared" si="5"/>
        <v>12</v>
      </c>
      <c r="I19" s="501">
        <f t="shared" si="0"/>
        <v>0</v>
      </c>
      <c r="J19" s="501">
        <f t="shared" si="1"/>
        <v>31785.64119989775</v>
      </c>
      <c r="K19" s="501">
        <f t="shared" si="2"/>
        <v>-1989.5158928220771</v>
      </c>
      <c r="L19" s="502">
        <f t="shared" si="3"/>
        <v>3200.377251598751</v>
      </c>
    </row>
    <row r="20" spans="1:12" ht="12">
      <c r="A20" s="498">
        <f t="shared" si="4"/>
        <v>13</v>
      </c>
      <c r="B20" s="499">
        <f>Dashboard!K24*Dashboard!$D$50</f>
        <v>61546.85738769748</v>
      </c>
      <c r="C20" s="499">
        <f>(Dashboard!$G$50-Dashboard!$D$50)*Dashboard!K24</f>
        <v>29443.359775800753</v>
      </c>
      <c r="D20" s="499">
        <f>Dashboard!M24*Dashboard!$D$50</f>
        <v>62926.998454898785</v>
      </c>
      <c r="E20" s="499">
        <f>Dashboard!N24*Dashboard!$D$50</f>
        <v>57737.10531047796</v>
      </c>
      <c r="F20" s="494"/>
      <c r="H20" s="500">
        <f t="shared" si="5"/>
        <v>13</v>
      </c>
      <c r="I20" s="501">
        <f t="shared" si="0"/>
        <v>0</v>
      </c>
      <c r="J20" s="501">
        <f t="shared" si="1"/>
        <v>32103.497611896724</v>
      </c>
      <c r="K20" s="501">
        <f t="shared" si="2"/>
        <v>-1380.141067201308</v>
      </c>
      <c r="L20" s="502">
        <f t="shared" si="3"/>
        <v>3809.7520772195203</v>
      </c>
    </row>
    <row r="21" spans="1:12" ht="12">
      <c r="A21" s="498">
        <f t="shared" si="4"/>
        <v>14</v>
      </c>
      <c r="B21" s="499">
        <f>Dashboard!K25*Dashboard!$D$50</f>
        <v>62162.325961574454</v>
      </c>
      <c r="C21" s="499">
        <f>(Dashboard!$G$50-Dashboard!$D$50)*Dashboard!K25</f>
        <v>29737.793373558758</v>
      </c>
      <c r="D21" s="499">
        <f>Dashboard!M25*Dashboard!$D$50</f>
        <v>62926.998454898785</v>
      </c>
      <c r="E21" s="499">
        <f>Dashboard!N25*Dashboard!$D$50</f>
        <v>57737.10531047796</v>
      </c>
      <c r="F21" s="494"/>
      <c r="H21" s="500">
        <f t="shared" si="5"/>
        <v>14</v>
      </c>
      <c r="I21" s="501">
        <f t="shared" si="0"/>
        <v>0</v>
      </c>
      <c r="J21" s="501">
        <f t="shared" si="1"/>
        <v>32424.532588015696</v>
      </c>
      <c r="K21" s="501">
        <f t="shared" si="2"/>
        <v>-764.6724933243313</v>
      </c>
      <c r="L21" s="502">
        <f t="shared" si="3"/>
        <v>4425.220651096497</v>
      </c>
    </row>
    <row r="22" spans="1:12" ht="12">
      <c r="A22" s="498">
        <f t="shared" si="4"/>
        <v>15</v>
      </c>
      <c r="B22" s="499">
        <f>Dashboard!K26*Dashboard!$D$50</f>
        <v>62783.9492211902</v>
      </c>
      <c r="C22" s="499">
        <f>(Dashboard!$G$50-Dashboard!$D$50)*Dashboard!K26</f>
        <v>30035.17130729435</v>
      </c>
      <c r="D22" s="499">
        <f>Dashboard!M26*Dashboard!$D$50</f>
        <v>62926.998454898785</v>
      </c>
      <c r="E22" s="499">
        <f>Dashboard!N26*Dashboard!$D$50</f>
        <v>57737.10531047796</v>
      </c>
      <c r="F22" s="494"/>
      <c r="H22" s="500">
        <f>H21+1</f>
        <v>15</v>
      </c>
      <c r="I22" s="501">
        <f t="shared" si="0"/>
        <v>0</v>
      </c>
      <c r="J22" s="501">
        <f t="shared" si="1"/>
        <v>32748.777913895854</v>
      </c>
      <c r="K22" s="501">
        <f t="shared" si="2"/>
        <v>-143.0492337085816</v>
      </c>
      <c r="L22" s="502">
        <f t="shared" si="3"/>
        <v>5046.843910712247</v>
      </c>
    </row>
    <row r="23" spans="1:12" ht="12">
      <c r="A23" s="498">
        <f t="shared" si="4"/>
        <v>16</v>
      </c>
      <c r="B23" s="499">
        <f>Dashboard!K27*Dashboard!$D$50</f>
        <v>63411.7887134021</v>
      </c>
      <c r="C23" s="499">
        <f>(Dashboard!$G$50-Dashboard!$D$50)*Dashboard!K27</f>
        <v>30335.52302036729</v>
      </c>
      <c r="D23" s="499">
        <f>Dashboard!M27*Dashboard!$D$50</f>
        <v>62926.998454898785</v>
      </c>
      <c r="E23" s="499">
        <f>Dashboard!N27*Dashboard!$D$50</f>
        <v>57737.10531047796</v>
      </c>
      <c r="F23" s="494"/>
      <c r="H23" s="500">
        <f t="shared" si="5"/>
        <v>16</v>
      </c>
      <c r="I23" s="501">
        <f t="shared" si="0"/>
        <v>0</v>
      </c>
      <c r="J23" s="501">
        <f t="shared" si="1"/>
        <v>33076.26569303481</v>
      </c>
      <c r="K23" s="501">
        <f t="shared" si="2"/>
        <v>484.7902585033153</v>
      </c>
      <c r="L23" s="502">
        <f t="shared" si="3"/>
        <v>5674.683402924144</v>
      </c>
    </row>
    <row r="24" spans="1:12" ht="12">
      <c r="A24" s="498">
        <f t="shared" si="4"/>
        <v>17</v>
      </c>
      <c r="B24" s="499">
        <f>Dashboard!K28*Dashboard!$D$50</f>
        <v>64045.906600536124</v>
      </c>
      <c r="C24" s="499">
        <f>(Dashboard!$G$50-Dashboard!$D$50)*Dashboard!K28</f>
        <v>30638.878250570964</v>
      </c>
      <c r="D24" s="499">
        <f>Dashboard!M28*Dashboard!$D$50</f>
        <v>62926.998454898785</v>
      </c>
      <c r="E24" s="499">
        <f>Dashboard!N28*Dashboard!$D$50</f>
        <v>57737.10531047796</v>
      </c>
      <c r="F24" s="494"/>
      <c r="H24" s="500">
        <f t="shared" si="5"/>
        <v>17</v>
      </c>
      <c r="I24" s="501">
        <f t="shared" si="0"/>
        <v>0</v>
      </c>
      <c r="J24" s="501">
        <f t="shared" si="1"/>
        <v>33407.028349965156</v>
      </c>
      <c r="K24" s="501">
        <f t="shared" si="2"/>
        <v>1118.9081456373387</v>
      </c>
      <c r="L24" s="502">
        <f t="shared" si="3"/>
        <v>6308.801290058167</v>
      </c>
    </row>
    <row r="25" spans="1:12" ht="12">
      <c r="A25" s="498">
        <f t="shared" si="4"/>
        <v>18</v>
      </c>
      <c r="B25" s="499">
        <f>Dashboard!K29*Dashboard!$D$50</f>
        <v>64686.36566654148</v>
      </c>
      <c r="C25" s="499">
        <f>(Dashboard!$G$50-Dashboard!$D$50)*Dashboard!K29</f>
        <v>30945.26703307667</v>
      </c>
      <c r="D25" s="499">
        <f>Dashboard!M29*Dashboard!$D$50</f>
        <v>62926.998454898785</v>
      </c>
      <c r="E25" s="499">
        <f>Dashboard!N29*Dashboard!$D$50</f>
        <v>57737.10531047796</v>
      </c>
      <c r="F25" s="494"/>
      <c r="H25" s="500">
        <f t="shared" si="5"/>
        <v>18</v>
      </c>
      <c r="I25" s="501">
        <f t="shared" si="0"/>
        <v>0</v>
      </c>
      <c r="J25" s="501">
        <f t="shared" si="1"/>
        <v>33741.09863346481</v>
      </c>
      <c r="K25" s="501">
        <f t="shared" si="2"/>
        <v>1759.367211642697</v>
      </c>
      <c r="L25" s="502">
        <f t="shared" si="3"/>
        <v>6949.260356063525</v>
      </c>
    </row>
    <row r="26" spans="1:12" ht="12">
      <c r="A26" s="498">
        <f t="shared" si="4"/>
        <v>19</v>
      </c>
      <c r="B26" s="499">
        <f>Dashboard!K30*Dashboard!$D$50</f>
        <v>65333.22932320689</v>
      </c>
      <c r="C26" s="499">
        <f>(Dashboard!$G$50-Dashboard!$D$50)*Dashboard!K30</f>
        <v>31254.719703407434</v>
      </c>
      <c r="D26" s="499">
        <f>Dashboard!M30*Dashboard!$D$50</f>
        <v>62926.998454898785</v>
      </c>
      <c r="E26" s="499">
        <f>Dashboard!N30*Dashboard!$D$50</f>
        <v>57737.10531047796</v>
      </c>
      <c r="F26" s="494"/>
      <c r="H26" s="500">
        <f t="shared" si="5"/>
        <v>19</v>
      </c>
      <c r="I26" s="501">
        <f t="shared" si="0"/>
        <v>0</v>
      </c>
      <c r="J26" s="501">
        <f t="shared" si="1"/>
        <v>34078.50961979946</v>
      </c>
      <c r="K26" s="501">
        <f t="shared" si="2"/>
        <v>2406.2308683081064</v>
      </c>
      <c r="L26" s="502">
        <f t="shared" si="3"/>
        <v>7596.124012728935</v>
      </c>
    </row>
    <row r="27" spans="1:12" ht="12.75" thickBot="1">
      <c r="A27" s="498">
        <f t="shared" si="4"/>
        <v>20</v>
      </c>
      <c r="B27" s="499">
        <f>Dashboard!K31*Dashboard!$D$50</f>
        <v>65986.56161643895</v>
      </c>
      <c r="C27" s="499">
        <f>(Dashboard!$G$50-Dashboard!$D$50)*Dashboard!K31</f>
        <v>31567.266900441507</v>
      </c>
      <c r="D27" s="499">
        <f>Dashboard!M31*Dashboard!$D$50</f>
        <v>62926.998454898785</v>
      </c>
      <c r="E27" s="499">
        <f>Dashboard!N31*Dashboard!$D$50</f>
        <v>57737.10531047796</v>
      </c>
      <c r="F27" s="494"/>
      <c r="H27" s="503">
        <f t="shared" si="5"/>
        <v>20</v>
      </c>
      <c r="I27" s="504">
        <f t="shared" si="0"/>
        <v>0</v>
      </c>
      <c r="J27" s="504">
        <f t="shared" si="1"/>
        <v>34419.29471599744</v>
      </c>
      <c r="K27" s="504">
        <f t="shared" si="2"/>
        <v>3059.5631615401653</v>
      </c>
      <c r="L27" s="505">
        <f t="shared" si="3"/>
        <v>8249.456305960994</v>
      </c>
    </row>
    <row r="28" spans="1:12" ht="12">
      <c r="A28" s="13"/>
      <c r="H28" s="506" t="s">
        <v>382</v>
      </c>
      <c r="I28" s="507">
        <v>0</v>
      </c>
      <c r="J28" s="507">
        <f>SUM(J7:J27)</f>
        <v>-1115531.400702893</v>
      </c>
      <c r="K28" s="507">
        <f>SUM(K7:K27)</f>
        <v>-55868.3364593431</v>
      </c>
      <c r="L28" s="508">
        <f>SUM(L7:L27)</f>
        <v>47929.52642907346</v>
      </c>
    </row>
    <row r="29" spans="8:12" ht="12.75" thickBot="1">
      <c r="H29" s="509" t="s">
        <v>383</v>
      </c>
      <c r="I29" s="510">
        <f>NPV(B2,I7:I27)</f>
        <v>0</v>
      </c>
      <c r="J29" s="510">
        <f>NPV($B$2,J7:J27)</f>
        <v>-1258054.6011556294</v>
      </c>
      <c r="K29" s="510">
        <f>NPV($B$2,K7:K27)</f>
        <v>-47656.29973742836</v>
      </c>
      <c r="L29" s="511">
        <f>NPV($B$2,L7:L27)</f>
        <v>23610.226313340918</v>
      </c>
    </row>
  </sheetData>
  <sheetProtection/>
  <mergeCells count="4">
    <mergeCell ref="A5:A6"/>
    <mergeCell ref="B5:E5"/>
    <mergeCell ref="H5:H6"/>
    <mergeCell ref="I5:L5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H49"/>
  <sheetViews>
    <sheetView zoomScale="90" zoomScaleNormal="90" workbookViewId="0" topLeftCell="A3">
      <selection activeCell="C6" sqref="C6:J6"/>
    </sheetView>
  </sheetViews>
  <sheetFormatPr defaultColWidth="8.8515625" defaultRowHeight="12.75"/>
  <cols>
    <col min="1" max="1" width="3.7109375" style="266" customWidth="1"/>
    <col min="2" max="2" width="23.8515625" style="0" customWidth="1"/>
    <col min="3" max="3" width="8.8515625" style="0" customWidth="1"/>
    <col min="4" max="4" width="11.140625" style="0" bestFit="1" customWidth="1"/>
    <col min="5" max="10" width="8.8515625" style="0" customWidth="1"/>
    <col min="11" max="11" width="9.140625" style="266" customWidth="1"/>
    <col min="12" max="12" width="34.140625" style="266" customWidth="1"/>
    <col min="13" max="13" width="11.421875" style="266" customWidth="1"/>
    <col min="14" max="14" width="11.421875" style="276" customWidth="1"/>
    <col min="15" max="15" width="34.8515625" style="276" customWidth="1"/>
    <col min="16" max="17" width="11.421875" style="276" customWidth="1"/>
    <col min="18" max="23" width="9.140625" style="276" customWidth="1"/>
    <col min="24" max="28" width="9.140625" style="266" customWidth="1"/>
    <col min="29" max="29" width="8.8515625" style="0" customWidth="1"/>
    <col min="30" max="30" width="29.8515625" style="0" customWidth="1"/>
    <col min="31" max="34" width="24.28125" style="0" customWidth="1"/>
  </cols>
  <sheetData>
    <row r="1" spans="14:34" s="266" customFormat="1" ht="12.75" thickBot="1">
      <c r="N1" s="276"/>
      <c r="O1" s="276"/>
      <c r="P1" s="276"/>
      <c r="Q1" s="276"/>
      <c r="R1" s="276"/>
      <c r="S1" s="276"/>
      <c r="T1" s="276"/>
      <c r="U1" s="276"/>
      <c r="V1" s="276"/>
      <c r="W1" s="276"/>
      <c r="AD1" s="426" t="s">
        <v>118</v>
      </c>
      <c r="AE1" s="336" t="s">
        <v>119</v>
      </c>
      <c r="AF1" s="340" t="s">
        <v>130</v>
      </c>
      <c r="AG1" s="340" t="s">
        <v>122</v>
      </c>
      <c r="AH1" s="340" t="s">
        <v>256</v>
      </c>
    </row>
    <row r="2" spans="1:34" s="266" customFormat="1" ht="19.5" customHeight="1">
      <c r="A2" s="277" t="s">
        <v>284</v>
      </c>
      <c r="N2" s="276"/>
      <c r="O2" s="276"/>
      <c r="P2" s="276"/>
      <c r="Q2" s="276"/>
      <c r="R2" s="276"/>
      <c r="S2" s="276"/>
      <c r="T2" s="276"/>
      <c r="U2" s="276"/>
      <c r="V2" s="276"/>
      <c r="W2" s="276"/>
      <c r="AD2" s="104" t="s">
        <v>144</v>
      </c>
      <c r="AE2" s="49" t="s">
        <v>140</v>
      </c>
      <c r="AF2" s="427">
        <v>0.5</v>
      </c>
      <c r="AG2" s="428">
        <v>3</v>
      </c>
      <c r="AH2" s="428">
        <v>88</v>
      </c>
    </row>
    <row r="3" spans="14:34" s="266" customFormat="1" ht="12">
      <c r="N3" s="276"/>
      <c r="O3" s="276"/>
      <c r="P3" s="276"/>
      <c r="Q3" s="276"/>
      <c r="R3" s="276"/>
      <c r="S3" s="276"/>
      <c r="T3" s="276"/>
      <c r="AD3" s="104"/>
      <c r="AE3" s="49" t="s">
        <v>141</v>
      </c>
      <c r="AF3" s="427">
        <v>0.5</v>
      </c>
      <c r="AG3" s="428">
        <v>3</v>
      </c>
      <c r="AH3" s="428">
        <v>88</v>
      </c>
    </row>
    <row r="4" spans="2:34" s="266" customFormat="1" ht="15.75" thickBot="1">
      <c r="B4" s="278" t="s">
        <v>194</v>
      </c>
      <c r="L4" s="278" t="s">
        <v>200</v>
      </c>
      <c r="N4" s="276"/>
      <c r="O4" s="278" t="s">
        <v>203</v>
      </c>
      <c r="P4" s="276"/>
      <c r="Q4" s="276"/>
      <c r="R4" s="276"/>
      <c r="S4" s="276"/>
      <c r="T4" s="276"/>
      <c r="AD4" s="104"/>
      <c r="AE4" s="49" t="s">
        <v>142</v>
      </c>
      <c r="AF4" s="427">
        <v>0.5</v>
      </c>
      <c r="AG4" s="428">
        <v>3</v>
      </c>
      <c r="AH4" s="428">
        <v>78</v>
      </c>
    </row>
    <row r="5" spans="2:34" ht="12.75" thickBot="1">
      <c r="B5" s="269" t="s">
        <v>179</v>
      </c>
      <c r="C5" s="512" t="s">
        <v>384</v>
      </c>
      <c r="D5" s="513"/>
      <c r="E5" s="514"/>
      <c r="F5" s="514"/>
      <c r="G5" s="514"/>
      <c r="H5" s="514"/>
      <c r="I5" s="514"/>
      <c r="J5" s="515"/>
      <c r="L5" s="275" t="s">
        <v>204</v>
      </c>
      <c r="M5" s="386" t="s">
        <v>141</v>
      </c>
      <c r="N5" s="283"/>
      <c r="O5" s="275" t="s">
        <v>122</v>
      </c>
      <c r="P5" s="380">
        <f>IF(M9&lt;500,IF(M6="Roof",VLOOKUP(M5,AE2:AG5,3,0),VLOOKUP(M5,AE10:AG13,3,0)),IF(M6="Ground",VLOOKUP(M5,AE2:AG5,3,0),VLOOKUP(M5,AE10:AG13,3,0)))</f>
        <v>3</v>
      </c>
      <c r="Q5" s="286"/>
      <c r="R5" s="286"/>
      <c r="S5" s="286"/>
      <c r="T5" s="286"/>
      <c r="U5" s="266"/>
      <c r="V5" s="266"/>
      <c r="W5" s="266"/>
      <c r="AC5" s="291"/>
      <c r="AD5" s="429"/>
      <c r="AE5" s="49" t="s">
        <v>143</v>
      </c>
      <c r="AF5" s="427">
        <v>0.5</v>
      </c>
      <c r="AG5" s="428">
        <v>3</v>
      </c>
      <c r="AH5" s="428">
        <v>78</v>
      </c>
    </row>
    <row r="6" spans="2:34" ht="12">
      <c r="B6" s="270" t="s">
        <v>180</v>
      </c>
      <c r="C6" s="516" t="s">
        <v>373</v>
      </c>
      <c r="D6" s="517"/>
      <c r="E6" s="518"/>
      <c r="F6" s="518"/>
      <c r="G6" s="518"/>
      <c r="H6" s="518"/>
      <c r="I6" s="518"/>
      <c r="J6" s="519"/>
      <c r="L6" s="273" t="s">
        <v>207</v>
      </c>
      <c r="M6" s="387" t="s">
        <v>199</v>
      </c>
      <c r="O6" s="273" t="s">
        <v>34</v>
      </c>
      <c r="P6" s="378">
        <v>0.06</v>
      </c>
      <c r="Q6" s="375">
        <v>0.04</v>
      </c>
      <c r="R6" s="286"/>
      <c r="S6" s="286"/>
      <c r="T6" s="286"/>
      <c r="U6" s="266"/>
      <c r="V6" s="266"/>
      <c r="W6" s="266"/>
      <c r="AD6" s="105" t="s">
        <v>129</v>
      </c>
      <c r="AE6" s="106" t="s">
        <v>140</v>
      </c>
      <c r="AF6" s="430">
        <v>2</v>
      </c>
      <c r="AG6" s="431">
        <v>2.5</v>
      </c>
      <c r="AH6" s="431">
        <v>80</v>
      </c>
    </row>
    <row r="7" spans="2:34" ht="12">
      <c r="B7" s="270" t="s">
        <v>182</v>
      </c>
      <c r="C7" s="516" t="str">
        <f>C5</f>
        <v>16750 W. Ancona Avenue, Old Mill Creek, Illinois (West Property)</v>
      </c>
      <c r="D7" s="517"/>
      <c r="E7" s="518"/>
      <c r="F7" s="518"/>
      <c r="G7" s="518"/>
      <c r="H7" s="518"/>
      <c r="I7" s="518"/>
      <c r="J7" s="519"/>
      <c r="L7" s="273" t="s">
        <v>206</v>
      </c>
      <c r="M7" s="388">
        <v>134781</v>
      </c>
      <c r="O7" s="273" t="s">
        <v>35</v>
      </c>
      <c r="P7" s="377">
        <v>20</v>
      </c>
      <c r="Q7" s="279"/>
      <c r="R7" s="279"/>
      <c r="S7" s="279"/>
      <c r="T7" s="279"/>
      <c r="U7" s="266"/>
      <c r="V7" s="266"/>
      <c r="W7" s="266"/>
      <c r="AD7" s="104"/>
      <c r="AE7" s="107" t="s">
        <v>141</v>
      </c>
      <c r="AF7" s="427">
        <v>2</v>
      </c>
      <c r="AG7" s="428">
        <v>2.5</v>
      </c>
      <c r="AH7" s="428">
        <v>80</v>
      </c>
    </row>
    <row r="8" spans="2:34" ht="12.75" customHeight="1">
      <c r="B8" s="270" t="s">
        <v>181</v>
      </c>
      <c r="C8" s="520" t="s">
        <v>374</v>
      </c>
      <c r="D8" s="518"/>
      <c r="E8" s="518"/>
      <c r="F8" s="518"/>
      <c r="G8" s="518"/>
      <c r="H8" s="518"/>
      <c r="I8" s="518"/>
      <c r="J8" s="519"/>
      <c r="L8" s="273" t="s">
        <v>205</v>
      </c>
      <c r="M8" s="389" t="s">
        <v>196</v>
      </c>
      <c r="O8" s="273" t="s">
        <v>13</v>
      </c>
      <c r="P8" s="378">
        <v>0.35</v>
      </c>
      <c r="Q8" s="282"/>
      <c r="R8" s="282"/>
      <c r="S8" s="282"/>
      <c r="T8" s="282"/>
      <c r="U8" s="266"/>
      <c r="V8" s="266"/>
      <c r="W8" s="266"/>
      <c r="AD8" s="104"/>
      <c r="AE8" s="107" t="s">
        <v>142</v>
      </c>
      <c r="AF8" s="427">
        <v>2</v>
      </c>
      <c r="AG8" s="428">
        <v>2.5</v>
      </c>
      <c r="AH8" s="428">
        <v>70</v>
      </c>
    </row>
    <row r="9" spans="2:34" ht="12.75" thickBot="1">
      <c r="B9" s="432"/>
      <c r="C9" s="518"/>
      <c r="D9" s="518"/>
      <c r="E9" s="518"/>
      <c r="F9" s="518"/>
      <c r="G9" s="518"/>
      <c r="H9" s="518"/>
      <c r="I9" s="518"/>
      <c r="J9" s="519"/>
      <c r="L9" s="273" t="s">
        <v>201</v>
      </c>
      <c r="M9" s="376">
        <f>M7/VLOOKUP(M8,AA12:AB13,2,0)*0.5</f>
        <v>580.9525862068965</v>
      </c>
      <c r="O9" s="273" t="s">
        <v>14</v>
      </c>
      <c r="P9" s="381">
        <v>0.0575</v>
      </c>
      <c r="Q9" s="262"/>
      <c r="R9" s="262"/>
      <c r="S9" s="262"/>
      <c r="T9" s="262"/>
      <c r="U9" s="266"/>
      <c r="V9" s="266"/>
      <c r="W9" s="266"/>
      <c r="AD9" s="429"/>
      <c r="AE9" s="108" t="s">
        <v>143</v>
      </c>
      <c r="AF9" s="433">
        <v>2</v>
      </c>
      <c r="AG9" s="434">
        <v>2.5</v>
      </c>
      <c r="AH9" s="434">
        <v>70</v>
      </c>
    </row>
    <row r="10" spans="2:34" ht="12.75" thickBot="1">
      <c r="B10" s="435"/>
      <c r="C10" s="384"/>
      <c r="D10" s="384"/>
      <c r="E10" s="384"/>
      <c r="F10" s="384"/>
      <c r="G10" s="384"/>
      <c r="H10" s="384"/>
      <c r="I10" s="384"/>
      <c r="J10" s="385"/>
      <c r="L10" s="273" t="s">
        <v>202</v>
      </c>
      <c r="M10" s="376">
        <f>M9*0.94</f>
        <v>546.0954310344827</v>
      </c>
      <c r="O10" s="273" t="s">
        <v>2</v>
      </c>
      <c r="P10" s="378">
        <v>0.3</v>
      </c>
      <c r="Q10" s="287"/>
      <c r="R10" s="287"/>
      <c r="S10" s="287"/>
      <c r="T10" s="287"/>
      <c r="U10" s="266"/>
      <c r="V10" s="266"/>
      <c r="W10" s="266"/>
      <c r="AA10" s="117" t="s">
        <v>198</v>
      </c>
      <c r="AD10" s="105" t="s">
        <v>253</v>
      </c>
      <c r="AE10" s="106" t="s">
        <v>140</v>
      </c>
      <c r="AF10" s="430">
        <v>2</v>
      </c>
      <c r="AG10" s="431">
        <v>2.75</v>
      </c>
      <c r="AH10" s="428">
        <v>88</v>
      </c>
    </row>
    <row r="11" spans="12:34" s="266" customFormat="1" ht="12">
      <c r="L11" s="273" t="s">
        <v>195</v>
      </c>
      <c r="M11" s="377">
        <f>M9*8760*M12</f>
        <v>743410.1674137932</v>
      </c>
      <c r="N11" s="276"/>
      <c r="O11" s="273" t="s">
        <v>87</v>
      </c>
      <c r="P11" s="377">
        <v>5</v>
      </c>
      <c r="Q11" s="279"/>
      <c r="R11" s="279"/>
      <c r="S11" s="279"/>
      <c r="T11" s="279"/>
      <c r="AA11" s="117" t="s">
        <v>199</v>
      </c>
      <c r="AD11" s="104"/>
      <c r="AE11" s="107" t="s">
        <v>141</v>
      </c>
      <c r="AF11" s="427">
        <v>2</v>
      </c>
      <c r="AG11" s="428">
        <v>2.75</v>
      </c>
      <c r="AH11" s="428">
        <v>88</v>
      </c>
    </row>
    <row r="12" spans="2:34" s="266" customFormat="1" ht="12">
      <c r="B12" s="271"/>
      <c r="C12" s="271"/>
      <c r="D12" s="271"/>
      <c r="E12" s="271"/>
      <c r="F12" s="271"/>
      <c r="G12" s="271"/>
      <c r="H12" s="271"/>
      <c r="I12" s="271"/>
      <c r="J12" s="271"/>
      <c r="L12" s="273" t="s">
        <v>252</v>
      </c>
      <c r="M12" s="378">
        <v>0.14607762557077628</v>
      </c>
      <c r="N12" s="276"/>
      <c r="O12" s="273" t="s">
        <v>36</v>
      </c>
      <c r="P12" s="382">
        <v>25</v>
      </c>
      <c r="Q12" s="280"/>
      <c r="R12" s="280"/>
      <c r="S12" s="280"/>
      <c r="T12" s="280"/>
      <c r="AA12" s="117" t="s">
        <v>196</v>
      </c>
      <c r="AB12" s="266">
        <v>116</v>
      </c>
      <c r="AD12" s="104"/>
      <c r="AE12" s="107" t="s">
        <v>142</v>
      </c>
      <c r="AF12" s="427">
        <v>2</v>
      </c>
      <c r="AG12" s="428">
        <v>2.75</v>
      </c>
      <c r="AH12" s="428">
        <v>78</v>
      </c>
    </row>
    <row r="13" spans="2:34" s="266" customFormat="1" ht="15.75" thickBot="1">
      <c r="B13" s="278" t="s">
        <v>193</v>
      </c>
      <c r="L13" s="284" t="s">
        <v>68</v>
      </c>
      <c r="M13" s="377">
        <v>20</v>
      </c>
      <c r="N13" s="276"/>
      <c r="O13" s="273" t="s">
        <v>43</v>
      </c>
      <c r="P13" s="378">
        <v>0.02</v>
      </c>
      <c r="Q13" s="282"/>
      <c r="R13" s="282"/>
      <c r="S13" s="282"/>
      <c r="T13" s="282"/>
      <c r="AA13" s="117" t="s">
        <v>197</v>
      </c>
      <c r="AB13" s="266">
        <v>76</v>
      </c>
      <c r="AD13" s="429"/>
      <c r="AE13" s="108" t="s">
        <v>143</v>
      </c>
      <c r="AF13" s="427">
        <v>2</v>
      </c>
      <c r="AG13" s="428">
        <v>2.75</v>
      </c>
      <c r="AH13" s="428">
        <v>78</v>
      </c>
    </row>
    <row r="14" spans="2:34" ht="12.75" thickBot="1">
      <c r="B14" s="521"/>
      <c r="C14" s="522"/>
      <c r="D14" s="522"/>
      <c r="E14" s="522"/>
      <c r="F14" s="522"/>
      <c r="G14" s="522"/>
      <c r="H14" s="522"/>
      <c r="I14" s="522"/>
      <c r="J14" s="523"/>
      <c r="L14" s="285" t="s">
        <v>42</v>
      </c>
      <c r="M14" s="379">
        <v>0.007</v>
      </c>
      <c r="O14" s="273" t="s">
        <v>40</v>
      </c>
      <c r="P14" s="382">
        <v>0.25</v>
      </c>
      <c r="Q14" s="287"/>
      <c r="R14" s="287"/>
      <c r="S14" s="287"/>
      <c r="T14" s="287"/>
      <c r="U14" s="266"/>
      <c r="V14" s="266"/>
      <c r="W14" s="266"/>
      <c r="AD14" s="105" t="s">
        <v>145</v>
      </c>
      <c r="AE14" s="260" t="s">
        <v>140</v>
      </c>
      <c r="AF14" s="430">
        <v>2</v>
      </c>
      <c r="AG14" s="431">
        <v>2.25</v>
      </c>
      <c r="AH14" s="431">
        <v>80</v>
      </c>
    </row>
    <row r="15" spans="2:34" ht="12.75">
      <c r="B15" s="524"/>
      <c r="C15" s="525"/>
      <c r="D15" s="525"/>
      <c r="E15" s="525"/>
      <c r="F15" s="525"/>
      <c r="G15" s="525"/>
      <c r="H15" s="525"/>
      <c r="I15" s="525"/>
      <c r="J15" s="526"/>
      <c r="L15" s="281"/>
      <c r="M15" s="262"/>
      <c r="O15" s="273" t="s">
        <v>44</v>
      </c>
      <c r="P15" s="377">
        <v>10</v>
      </c>
      <c r="Q15" s="279"/>
      <c r="R15" s="279"/>
      <c r="S15" s="279"/>
      <c r="T15" s="279"/>
      <c r="U15" s="266"/>
      <c r="V15" s="266"/>
      <c r="W15" s="266"/>
      <c r="AD15" s="104"/>
      <c r="AE15" s="49" t="s">
        <v>141</v>
      </c>
      <c r="AF15" s="427">
        <v>2</v>
      </c>
      <c r="AG15" s="428">
        <v>2.25</v>
      </c>
      <c r="AH15" s="428">
        <v>80</v>
      </c>
    </row>
    <row r="16" spans="2:34" ht="12.75">
      <c r="B16" s="524"/>
      <c r="C16" s="525"/>
      <c r="D16" s="525"/>
      <c r="E16" s="525"/>
      <c r="F16" s="525"/>
      <c r="G16" s="525"/>
      <c r="H16" s="525"/>
      <c r="I16" s="525"/>
      <c r="J16" s="526"/>
      <c r="O16" s="273" t="s">
        <v>41</v>
      </c>
      <c r="P16" s="382">
        <v>25</v>
      </c>
      <c r="Q16" s="267"/>
      <c r="U16" s="266"/>
      <c r="V16" s="266"/>
      <c r="W16" s="266"/>
      <c r="AD16" s="104"/>
      <c r="AE16" s="49" t="s">
        <v>142</v>
      </c>
      <c r="AF16" s="427">
        <v>2</v>
      </c>
      <c r="AG16" s="428">
        <v>2.25</v>
      </c>
      <c r="AH16" s="428">
        <v>70</v>
      </c>
    </row>
    <row r="17" spans="2:34" ht="13.5" thickBot="1">
      <c r="B17" s="524"/>
      <c r="C17" s="525"/>
      <c r="D17" s="525"/>
      <c r="E17" s="525"/>
      <c r="F17" s="525"/>
      <c r="G17" s="525"/>
      <c r="H17" s="525"/>
      <c r="I17" s="525"/>
      <c r="J17" s="526"/>
      <c r="O17" s="273" t="s">
        <v>39</v>
      </c>
      <c r="P17" s="378">
        <v>0.02</v>
      </c>
      <c r="Q17" s="267"/>
      <c r="U17" s="266"/>
      <c r="V17" s="266"/>
      <c r="W17" s="266"/>
      <c r="AD17" s="429"/>
      <c r="AE17" s="261" t="s">
        <v>143</v>
      </c>
      <c r="AF17" s="433">
        <v>2</v>
      </c>
      <c r="AG17" s="434">
        <v>2.25</v>
      </c>
      <c r="AH17" s="434">
        <v>70</v>
      </c>
    </row>
    <row r="18" spans="2:23" ht="12.75">
      <c r="B18" s="524"/>
      <c r="C18" s="525"/>
      <c r="D18" s="525"/>
      <c r="E18" s="525"/>
      <c r="F18" s="525"/>
      <c r="G18" s="525"/>
      <c r="H18" s="525"/>
      <c r="I18" s="525"/>
      <c r="J18" s="526"/>
      <c r="M18" s="276"/>
      <c r="O18" s="341" t="s">
        <v>257</v>
      </c>
      <c r="P18" s="382">
        <f>'Use and Costs'!P39*1000</f>
        <v>68.85257449662903</v>
      </c>
      <c r="U18" s="266"/>
      <c r="V18" s="266"/>
      <c r="W18" s="266"/>
    </row>
    <row r="19" spans="2:23" ht="13.5" thickBot="1">
      <c r="B19" s="524"/>
      <c r="C19" s="525"/>
      <c r="D19" s="525"/>
      <c r="E19" s="525"/>
      <c r="F19" s="525"/>
      <c r="G19" s="525"/>
      <c r="H19" s="525"/>
      <c r="I19" s="525"/>
      <c r="J19" s="526"/>
      <c r="O19" s="272" t="s">
        <v>258</v>
      </c>
      <c r="P19" s="383">
        <v>0.01</v>
      </c>
      <c r="W19" s="266"/>
    </row>
    <row r="20" spans="2:23" ht="12.75">
      <c r="B20" s="524"/>
      <c r="C20" s="525"/>
      <c r="D20" s="525"/>
      <c r="E20" s="525"/>
      <c r="F20" s="525"/>
      <c r="G20" s="525"/>
      <c r="H20" s="525"/>
      <c r="I20" s="525"/>
      <c r="J20" s="526"/>
      <c r="W20" s="266"/>
    </row>
    <row r="21" spans="2:23" ht="16.5" thickBot="1">
      <c r="B21" s="524"/>
      <c r="C21" s="525"/>
      <c r="D21" s="525"/>
      <c r="E21" s="525"/>
      <c r="F21" s="525"/>
      <c r="G21" s="525"/>
      <c r="H21" s="525"/>
      <c r="I21" s="525"/>
      <c r="J21" s="526"/>
      <c r="L21" s="278" t="s">
        <v>173</v>
      </c>
      <c r="M21" s="267"/>
      <c r="N21" s="267"/>
      <c r="O21" s="267"/>
      <c r="P21" s="267"/>
      <c r="Q21" s="267"/>
      <c r="W21" s="266"/>
    </row>
    <row r="22" spans="2:23" ht="13.5" thickBot="1">
      <c r="B22" s="524"/>
      <c r="C22" s="525"/>
      <c r="D22" s="525"/>
      <c r="E22" s="525"/>
      <c r="F22" s="525"/>
      <c r="G22" s="525"/>
      <c r="H22" s="525"/>
      <c r="I22" s="525"/>
      <c r="J22" s="526"/>
      <c r="L22" s="292" t="s">
        <v>209</v>
      </c>
      <c r="M22" s="293" t="s">
        <v>4</v>
      </c>
      <c r="N22" s="296" t="s">
        <v>210</v>
      </c>
      <c r="O22" s="295" t="s">
        <v>209</v>
      </c>
      <c r="P22" s="293" t="s">
        <v>4</v>
      </c>
      <c r="Q22" s="296" t="s">
        <v>210</v>
      </c>
      <c r="W22" s="266"/>
    </row>
    <row r="23" spans="2:17" ht="12.75">
      <c r="B23" s="524"/>
      <c r="C23" s="525"/>
      <c r="D23" s="525"/>
      <c r="E23" s="525"/>
      <c r="F23" s="525"/>
      <c r="G23" s="525"/>
      <c r="H23" s="525"/>
      <c r="I23" s="525"/>
      <c r="J23" s="526"/>
      <c r="L23" s="270" t="s">
        <v>211</v>
      </c>
      <c r="M23" s="436">
        <v>0</v>
      </c>
      <c r="N23" s="437">
        <v>0</v>
      </c>
      <c r="O23" s="274" t="s">
        <v>214</v>
      </c>
      <c r="P23" s="436">
        <v>0</v>
      </c>
      <c r="Q23" s="438">
        <v>0</v>
      </c>
    </row>
    <row r="24" spans="2:17" ht="12.75">
      <c r="B24" s="524"/>
      <c r="C24" s="525"/>
      <c r="D24" s="525"/>
      <c r="E24" s="525"/>
      <c r="F24" s="525"/>
      <c r="G24" s="525"/>
      <c r="H24" s="525"/>
      <c r="I24" s="525"/>
      <c r="J24" s="526"/>
      <c r="L24" s="270" t="s">
        <v>212</v>
      </c>
      <c r="M24" s="436">
        <v>0</v>
      </c>
      <c r="N24" s="437">
        <v>0</v>
      </c>
      <c r="O24" s="274" t="s">
        <v>215</v>
      </c>
      <c r="P24" s="436">
        <v>0</v>
      </c>
      <c r="Q24" s="438">
        <v>0</v>
      </c>
    </row>
    <row r="25" spans="2:17" ht="13.5" thickBot="1">
      <c r="B25" s="524"/>
      <c r="C25" s="525"/>
      <c r="D25" s="525"/>
      <c r="E25" s="525"/>
      <c r="F25" s="525"/>
      <c r="G25" s="525"/>
      <c r="H25" s="525"/>
      <c r="I25" s="525"/>
      <c r="J25" s="526"/>
      <c r="L25" s="272" t="s">
        <v>213</v>
      </c>
      <c r="M25" s="390">
        <v>0</v>
      </c>
      <c r="N25" s="391">
        <v>0</v>
      </c>
      <c r="O25" s="290" t="s">
        <v>216</v>
      </c>
      <c r="P25" s="390">
        <v>0</v>
      </c>
      <c r="Q25" s="392">
        <v>0</v>
      </c>
    </row>
    <row r="26" spans="2:17" ht="13.5" thickBot="1">
      <c r="B26" s="524"/>
      <c r="C26" s="525"/>
      <c r="D26" s="525"/>
      <c r="E26" s="525"/>
      <c r="F26" s="525"/>
      <c r="G26" s="525"/>
      <c r="H26" s="525"/>
      <c r="I26" s="525"/>
      <c r="J26" s="526"/>
      <c r="L26" s="292" t="s">
        <v>208</v>
      </c>
      <c r="M26" s="294" t="s">
        <v>151</v>
      </c>
      <c r="N26" s="297" t="s">
        <v>152</v>
      </c>
      <c r="O26" s="292" t="s">
        <v>208</v>
      </c>
      <c r="P26" s="294" t="s">
        <v>151</v>
      </c>
      <c r="Q26" s="297" t="s">
        <v>152</v>
      </c>
    </row>
    <row r="27" spans="2:17" ht="12.75">
      <c r="B27" s="524"/>
      <c r="C27" s="525"/>
      <c r="D27" s="525"/>
      <c r="E27" s="525"/>
      <c r="F27" s="525"/>
      <c r="G27" s="525"/>
      <c r="H27" s="525"/>
      <c r="I27" s="525"/>
      <c r="J27" s="526"/>
      <c r="L27" s="270" t="s">
        <v>153</v>
      </c>
      <c r="M27" s="439">
        <v>1</v>
      </c>
      <c r="N27" s="440">
        <v>100</v>
      </c>
      <c r="O27" s="274" t="s">
        <v>163</v>
      </c>
      <c r="P27" s="439">
        <v>0</v>
      </c>
      <c r="Q27" s="441">
        <v>0</v>
      </c>
    </row>
    <row r="28" spans="2:17" ht="12.75">
      <c r="B28" s="524"/>
      <c r="C28" s="525"/>
      <c r="D28" s="525"/>
      <c r="E28" s="525"/>
      <c r="F28" s="525"/>
      <c r="G28" s="525"/>
      <c r="H28" s="525"/>
      <c r="I28" s="525"/>
      <c r="J28" s="526"/>
      <c r="L28" s="270" t="s">
        <v>154</v>
      </c>
      <c r="M28" s="439">
        <v>1</v>
      </c>
      <c r="N28" s="440">
        <v>100</v>
      </c>
      <c r="O28" s="274" t="s">
        <v>164</v>
      </c>
      <c r="P28" s="439">
        <v>0</v>
      </c>
      <c r="Q28" s="441">
        <v>0</v>
      </c>
    </row>
    <row r="29" spans="2:17" ht="12.75">
      <c r="B29" s="524"/>
      <c r="C29" s="525"/>
      <c r="D29" s="525"/>
      <c r="E29" s="525"/>
      <c r="F29" s="525"/>
      <c r="G29" s="525"/>
      <c r="H29" s="525"/>
      <c r="I29" s="525"/>
      <c r="J29" s="526"/>
      <c r="L29" s="270" t="s">
        <v>155</v>
      </c>
      <c r="M29" s="439">
        <v>1</v>
      </c>
      <c r="N29" s="440">
        <v>100</v>
      </c>
      <c r="O29" s="274" t="s">
        <v>165</v>
      </c>
      <c r="P29" s="439">
        <v>0</v>
      </c>
      <c r="Q29" s="441">
        <v>0</v>
      </c>
    </row>
    <row r="30" spans="2:17" ht="12.75">
      <c r="B30" s="524"/>
      <c r="C30" s="525"/>
      <c r="D30" s="525"/>
      <c r="E30" s="525"/>
      <c r="F30" s="525"/>
      <c r="G30" s="525"/>
      <c r="H30" s="525"/>
      <c r="I30" s="525"/>
      <c r="J30" s="526"/>
      <c r="L30" s="270" t="s">
        <v>156</v>
      </c>
      <c r="M30" s="439">
        <v>1</v>
      </c>
      <c r="N30" s="440">
        <v>100</v>
      </c>
      <c r="O30" s="274" t="s">
        <v>166</v>
      </c>
      <c r="P30" s="439">
        <v>0</v>
      </c>
      <c r="Q30" s="441">
        <v>0</v>
      </c>
    </row>
    <row r="31" spans="2:17" ht="12.75">
      <c r="B31" s="524"/>
      <c r="C31" s="525"/>
      <c r="D31" s="525"/>
      <c r="E31" s="525"/>
      <c r="F31" s="525"/>
      <c r="G31" s="525"/>
      <c r="H31" s="525"/>
      <c r="I31" s="525"/>
      <c r="J31" s="526"/>
      <c r="L31" s="270" t="s">
        <v>157</v>
      </c>
      <c r="M31" s="439">
        <v>1</v>
      </c>
      <c r="N31" s="440">
        <v>100</v>
      </c>
      <c r="O31" s="274" t="s">
        <v>167</v>
      </c>
      <c r="P31" s="439">
        <v>0</v>
      </c>
      <c r="Q31" s="441">
        <v>0</v>
      </c>
    </row>
    <row r="32" spans="2:17" ht="12.75">
      <c r="B32" s="524"/>
      <c r="C32" s="525"/>
      <c r="D32" s="525"/>
      <c r="E32" s="525"/>
      <c r="F32" s="525"/>
      <c r="G32" s="525"/>
      <c r="H32" s="525"/>
      <c r="I32" s="525"/>
      <c r="J32" s="526"/>
      <c r="L32" s="270" t="s">
        <v>158</v>
      </c>
      <c r="M32" s="439">
        <v>0</v>
      </c>
      <c r="N32" s="440">
        <v>0</v>
      </c>
      <c r="O32" s="274" t="s">
        <v>168</v>
      </c>
      <c r="P32" s="439">
        <v>0</v>
      </c>
      <c r="Q32" s="441">
        <v>0</v>
      </c>
    </row>
    <row r="33" spans="2:17" ht="12.75">
      <c r="B33" s="524"/>
      <c r="C33" s="525"/>
      <c r="D33" s="525"/>
      <c r="E33" s="525"/>
      <c r="F33" s="525"/>
      <c r="G33" s="525"/>
      <c r="H33" s="525"/>
      <c r="I33" s="525"/>
      <c r="J33" s="526"/>
      <c r="L33" s="270" t="s">
        <v>159</v>
      </c>
      <c r="M33" s="439">
        <v>0</v>
      </c>
      <c r="N33" s="440">
        <v>0</v>
      </c>
      <c r="O33" s="274" t="s">
        <v>169</v>
      </c>
      <c r="P33" s="439">
        <v>0</v>
      </c>
      <c r="Q33" s="441">
        <v>0</v>
      </c>
    </row>
    <row r="34" spans="2:17" ht="12">
      <c r="B34" s="524"/>
      <c r="C34" s="525"/>
      <c r="D34" s="525"/>
      <c r="E34" s="525"/>
      <c r="F34" s="525"/>
      <c r="G34" s="525"/>
      <c r="H34" s="525"/>
      <c r="I34" s="525"/>
      <c r="J34" s="526"/>
      <c r="L34" s="270" t="s">
        <v>160</v>
      </c>
      <c r="M34" s="439">
        <v>0</v>
      </c>
      <c r="N34" s="440">
        <v>0</v>
      </c>
      <c r="O34" s="274" t="s">
        <v>170</v>
      </c>
      <c r="P34" s="439">
        <v>0</v>
      </c>
      <c r="Q34" s="441">
        <v>0</v>
      </c>
    </row>
    <row r="35" spans="2:17" ht="12.75" thickBot="1">
      <c r="B35" s="527"/>
      <c r="C35" s="528"/>
      <c r="D35" s="528"/>
      <c r="E35" s="528"/>
      <c r="F35" s="528"/>
      <c r="G35" s="528"/>
      <c r="H35" s="528"/>
      <c r="I35" s="528"/>
      <c r="J35" s="529"/>
      <c r="L35" s="270" t="s">
        <v>161</v>
      </c>
      <c r="M35" s="439">
        <v>0</v>
      </c>
      <c r="N35" s="440">
        <v>0</v>
      </c>
      <c r="O35" s="274" t="s">
        <v>171</v>
      </c>
      <c r="P35" s="439">
        <v>0</v>
      </c>
      <c r="Q35" s="441">
        <v>0</v>
      </c>
    </row>
    <row r="36" spans="12:23" s="266" customFormat="1" ht="12.75" thickBot="1">
      <c r="L36" s="288" t="s">
        <v>162</v>
      </c>
      <c r="M36" s="442">
        <v>0</v>
      </c>
      <c r="N36" s="443">
        <v>0</v>
      </c>
      <c r="O36" s="289" t="s">
        <v>172</v>
      </c>
      <c r="P36" s="442">
        <v>0</v>
      </c>
      <c r="Q36" s="444">
        <v>0</v>
      </c>
      <c r="R36" s="276"/>
      <c r="S36" s="276"/>
      <c r="T36" s="276"/>
      <c r="U36" s="276"/>
      <c r="V36" s="276"/>
      <c r="W36" s="276"/>
    </row>
    <row r="37" spans="14:23" s="266" customFormat="1" ht="12">
      <c r="N37" s="276"/>
      <c r="O37" s="276"/>
      <c r="P37" s="276"/>
      <c r="Q37" s="276"/>
      <c r="R37" s="276"/>
      <c r="S37" s="276"/>
      <c r="T37" s="276"/>
      <c r="U37" s="276"/>
      <c r="V37" s="276"/>
      <c r="W37" s="276"/>
    </row>
    <row r="38" spans="14:23" s="266" customFormat="1" ht="12">
      <c r="N38" s="276"/>
      <c r="O38" s="276"/>
      <c r="P38" s="276"/>
      <c r="Q38" s="276"/>
      <c r="R38" s="276"/>
      <c r="S38" s="276"/>
      <c r="T38" s="276"/>
      <c r="U38" s="276"/>
      <c r="V38" s="276"/>
      <c r="W38" s="276"/>
    </row>
    <row r="39" spans="14:23" s="266" customFormat="1" ht="12">
      <c r="N39" s="276"/>
      <c r="O39" s="276"/>
      <c r="P39" s="276"/>
      <c r="Q39" s="276"/>
      <c r="R39" s="276"/>
      <c r="S39" s="276"/>
      <c r="T39" s="276"/>
      <c r="U39" s="276"/>
      <c r="V39" s="276"/>
      <c r="W39" s="276"/>
    </row>
    <row r="40" spans="14:23" s="266" customFormat="1" ht="12">
      <c r="N40" s="276"/>
      <c r="O40" s="276"/>
      <c r="P40" s="276"/>
      <c r="Q40" s="276"/>
      <c r="R40" s="276"/>
      <c r="S40" s="276"/>
      <c r="T40" s="276"/>
      <c r="U40" s="276"/>
      <c r="V40" s="276"/>
      <c r="W40" s="276"/>
    </row>
    <row r="41" spans="18:23" s="266" customFormat="1" ht="12">
      <c r="R41" s="276"/>
      <c r="S41" s="276"/>
      <c r="T41" s="276"/>
      <c r="U41" s="276"/>
      <c r="V41" s="276"/>
      <c r="W41" s="276"/>
    </row>
    <row r="42" spans="18:23" s="266" customFormat="1" ht="12">
      <c r="R42" s="276"/>
      <c r="S42" s="276"/>
      <c r="T42" s="276"/>
      <c r="U42" s="276"/>
      <c r="V42" s="276"/>
      <c r="W42" s="276"/>
    </row>
    <row r="43" spans="18:23" s="266" customFormat="1" ht="12">
      <c r="R43" s="276"/>
      <c r="S43" s="276"/>
      <c r="T43" s="276"/>
      <c r="U43" s="276"/>
      <c r="V43" s="276"/>
      <c r="W43" s="276"/>
    </row>
    <row r="44" spans="18:23" s="266" customFormat="1" ht="12">
      <c r="R44" s="276"/>
      <c r="S44" s="276"/>
      <c r="T44" s="276"/>
      <c r="U44" s="276"/>
      <c r="V44" s="276"/>
      <c r="W44" s="276"/>
    </row>
    <row r="45" spans="18:23" s="266" customFormat="1" ht="12">
      <c r="R45" s="276"/>
      <c r="S45" s="276"/>
      <c r="T45" s="276"/>
      <c r="U45" s="276"/>
      <c r="V45" s="276"/>
      <c r="W45" s="276"/>
    </row>
    <row r="46" spans="18:23" s="266" customFormat="1" ht="12">
      <c r="R46" s="276"/>
      <c r="S46" s="276"/>
      <c r="T46" s="276"/>
      <c r="U46" s="276"/>
      <c r="V46" s="276"/>
      <c r="W46" s="276"/>
    </row>
    <row r="47" spans="18:23" s="266" customFormat="1" ht="12">
      <c r="R47" s="276"/>
      <c r="S47" s="276"/>
      <c r="T47" s="276"/>
      <c r="U47" s="276"/>
      <c r="V47" s="276"/>
      <c r="W47" s="276"/>
    </row>
    <row r="48" spans="18:23" s="266" customFormat="1" ht="12">
      <c r="R48" s="276"/>
      <c r="S48" s="276"/>
      <c r="T48" s="276"/>
      <c r="U48" s="276"/>
      <c r="V48" s="276"/>
      <c r="W48" s="276"/>
    </row>
    <row r="49" spans="18:23" s="266" customFormat="1" ht="12">
      <c r="R49" s="276"/>
      <c r="S49" s="276"/>
      <c r="T49" s="276"/>
      <c r="U49" s="276"/>
      <c r="V49" s="276"/>
      <c r="W49" s="276"/>
    </row>
  </sheetData>
  <sheetProtection/>
  <mergeCells count="5">
    <mergeCell ref="C5:J5"/>
    <mergeCell ref="C6:J6"/>
    <mergeCell ref="C7:J7"/>
    <mergeCell ref="C8:J9"/>
    <mergeCell ref="B14:J35"/>
  </mergeCells>
  <conditionalFormatting sqref="P22">
    <cfRule type="expression" priority="5" dxfId="0" stopIfTrue="1">
      <formula>AND(#REF!=4,NOT(AND(#REF!&gt;-1,#REF!&lt;1)))</formula>
    </cfRule>
  </conditionalFormatting>
  <conditionalFormatting sqref="P23">
    <cfRule type="expression" priority="4" dxfId="0" stopIfTrue="1">
      <formula>AND(#REF!=4,NOT(AND(#REF!&gt;-1,#REF!&lt;1)))</formula>
    </cfRule>
  </conditionalFormatting>
  <conditionalFormatting sqref="Q24">
    <cfRule type="expression" priority="1" dxfId="0" stopIfTrue="1">
      <formula>AND(#REF!=4,NOT(AND(#REF!&gt;-1,#REF!&lt;1)))</formula>
    </cfRule>
  </conditionalFormatting>
  <conditionalFormatting sqref="N23">
    <cfRule type="expression" priority="7" dxfId="0" stopIfTrue="1">
      <formula>AND(#REF!=4,NOT(AND(#REF!&gt;-1,#REF!&lt;1)))</formula>
    </cfRule>
  </conditionalFormatting>
  <conditionalFormatting sqref="N24">
    <cfRule type="expression" priority="6" dxfId="0" stopIfTrue="1">
      <formula>AND(#REF!=4,NOT(AND(#REF!&gt;-1,#REF!&lt;1)))</formula>
    </cfRule>
  </conditionalFormatting>
  <conditionalFormatting sqref="P24">
    <cfRule type="expression" priority="3" dxfId="0" stopIfTrue="1">
      <formula>AND(#REF!=4,NOT(AND(#REF!&gt;-1,#REF!&lt;1)))</formula>
    </cfRule>
  </conditionalFormatting>
  <conditionalFormatting sqref="Q23">
    <cfRule type="expression" priority="2" dxfId="0" stopIfTrue="1">
      <formula>AND(#REF!=4,NOT(AND(#REF!&gt;-1,#REF!&lt;1)))</formula>
    </cfRule>
  </conditionalFormatting>
  <conditionalFormatting sqref="M22">
    <cfRule type="expression" priority="10" dxfId="0" stopIfTrue="1">
      <formula>AND(#REF!=4,NOT(AND(#REF!&gt;-1,#REF!&lt;1)))</formula>
    </cfRule>
  </conditionalFormatting>
  <conditionalFormatting sqref="M23">
    <cfRule type="expression" priority="9" dxfId="0" stopIfTrue="1">
      <formula>AND(#REF!=4,NOT(AND(#REF!&gt;-1,#REF!&lt;1)))</formula>
    </cfRule>
  </conditionalFormatting>
  <conditionalFormatting sqref="M24">
    <cfRule type="expression" priority="8" dxfId="0" stopIfTrue="1">
      <formula>AND(#REF!=4,NOT(AND(#REF!&gt;-1,#REF!&lt;1)))</formula>
    </cfRule>
  </conditionalFormatting>
  <dataValidations count="3">
    <dataValidation type="list" allowBlank="1" showInputMessage="1" showErrorMessage="1" sqref="M8">
      <formula1>Overview!$AA$12:$AA$13</formula1>
    </dataValidation>
    <dataValidation type="list" allowBlank="1" showInputMessage="1" showErrorMessage="1" sqref="M5">
      <formula1>Overview!$AE$2:$AE$5</formula1>
    </dataValidation>
    <dataValidation type="list" allowBlank="1" showInputMessage="1" showErrorMessage="1" sqref="M6">
      <formula1>Overview!$AA$10:$AA$11</formula1>
    </dataValidation>
  </dataValidation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48"/>
    <pageSetUpPr fitToPage="1"/>
  </sheetPr>
  <dimension ref="B1:N50"/>
  <sheetViews>
    <sheetView showGridLines="0" zoomScale="80" zoomScaleNormal="80" workbookViewId="0" topLeftCell="A1">
      <selection activeCell="B35" sqref="B35:H35"/>
    </sheetView>
  </sheetViews>
  <sheetFormatPr defaultColWidth="8.8515625" defaultRowHeight="12.75"/>
  <cols>
    <col min="1" max="1" width="7.140625" style="0" customWidth="1"/>
    <col min="2" max="4" width="13.421875" style="0" customWidth="1"/>
    <col min="5" max="8" width="12.421875" style="338" customWidth="1"/>
    <col min="9" max="20" width="12.421875" style="0" customWidth="1"/>
    <col min="21" max="21" width="12.421875" style="266" customWidth="1"/>
    <col min="22" max="22" width="11.8515625" style="266" customWidth="1"/>
    <col min="23" max="23" width="27.421875" style="0" customWidth="1"/>
    <col min="24" max="24" width="14.28125" style="0" bestFit="1" customWidth="1"/>
    <col min="25" max="25" width="30.00390625" style="0" customWidth="1"/>
    <col min="26" max="26" width="8.8515625" style="0" customWidth="1"/>
    <col min="27" max="27" width="24.7109375" style="0" customWidth="1"/>
    <col min="28" max="28" width="8.8515625" style="0" customWidth="1"/>
    <col min="29" max="29" width="10.00390625" style="0" customWidth="1"/>
    <col min="30" max="34" width="8.8515625" style="0" customWidth="1"/>
    <col min="35" max="35" width="12.00390625" style="0" customWidth="1"/>
  </cols>
  <sheetData>
    <row r="1" spans="5:8" s="13" customFormat="1" ht="12">
      <c r="E1" s="339"/>
      <c r="F1" s="339"/>
      <c r="G1" s="339"/>
      <c r="H1" s="339"/>
    </row>
    <row r="2" spans="2:10" s="13" customFormat="1" ht="18">
      <c r="B2" s="464" t="str">
        <f>Overview!C5</f>
        <v>16750 W. Ancona Avenue, Old Mill Creek, Illinois (West Property)</v>
      </c>
      <c r="C2" s="464"/>
      <c r="D2" s="464"/>
      <c r="E2" s="465"/>
      <c r="F2" s="339"/>
      <c r="G2" s="339"/>
      <c r="H2" s="339"/>
      <c r="I2" s="114"/>
      <c r="J2" s="114"/>
    </row>
    <row r="3" spans="2:8" s="13" customFormat="1" ht="12">
      <c r="B3" s="115" t="s">
        <v>10</v>
      </c>
      <c r="C3" s="115"/>
      <c r="D3" s="115"/>
      <c r="E3" s="339"/>
      <c r="F3" s="339"/>
      <c r="G3" s="339"/>
      <c r="H3" s="339"/>
    </row>
    <row r="4" spans="5:11" s="13" customFormat="1" ht="12">
      <c r="E4" s="339"/>
      <c r="F4" s="339"/>
      <c r="G4" s="339"/>
      <c r="H4" s="339"/>
      <c r="I4" s="116"/>
      <c r="K4" s="117"/>
    </row>
    <row r="6" spans="2:14" ht="12.75" customHeight="1">
      <c r="B6" s="535" t="s">
        <v>263</v>
      </c>
      <c r="C6" s="535"/>
      <c r="D6" s="535"/>
      <c r="E6" s="535"/>
      <c r="F6" s="535"/>
      <c r="G6" s="535"/>
      <c r="H6" s="535"/>
      <c r="I6" s="534" t="s">
        <v>262</v>
      </c>
      <c r="J6" s="534"/>
      <c r="K6" s="534"/>
      <c r="L6" s="534"/>
      <c r="M6" s="534"/>
      <c r="N6" s="534"/>
    </row>
    <row r="7" spans="2:14" ht="12.75" customHeight="1">
      <c r="B7" s="360" t="s">
        <v>179</v>
      </c>
      <c r="C7" s="274"/>
      <c r="D7" s="541" t="str">
        <f>Overview!C5</f>
        <v>16750 W. Ancona Avenue, Old Mill Creek, Illinois (West Property)</v>
      </c>
      <c r="E7" s="542"/>
      <c r="F7" s="542"/>
      <c r="G7" s="542"/>
      <c r="H7" s="359"/>
      <c r="I7" s="532" t="s">
        <v>259</v>
      </c>
      <c r="J7" s="531"/>
      <c r="K7" s="531"/>
      <c r="L7" s="345" t="s">
        <v>260</v>
      </c>
      <c r="M7" s="345" t="s">
        <v>255</v>
      </c>
      <c r="N7" s="352" t="s">
        <v>183</v>
      </c>
    </row>
    <row r="8" spans="2:14" ht="12.75" customHeight="1">
      <c r="B8" s="360" t="s">
        <v>180</v>
      </c>
      <c r="C8" s="274"/>
      <c r="D8" s="530" t="str">
        <f>Overview!C6</f>
        <v>Lake County</v>
      </c>
      <c r="E8" s="539"/>
      <c r="F8" s="539"/>
      <c r="G8" s="539"/>
      <c r="H8" s="359"/>
      <c r="I8" s="533" t="s">
        <v>261</v>
      </c>
      <c r="J8" s="531"/>
      <c r="K8" s="531"/>
      <c r="L8" s="346">
        <f>Purchase!C10</f>
        <v>1742857.7586206894</v>
      </c>
      <c r="M8" s="346">
        <v>0</v>
      </c>
      <c r="N8" s="353">
        <v>0</v>
      </c>
    </row>
    <row r="9" spans="2:14" ht="12.75" customHeight="1">
      <c r="B9" s="360" t="s">
        <v>182</v>
      </c>
      <c r="C9" s="274"/>
      <c r="D9" s="530" t="str">
        <f>Overview!C7</f>
        <v>16750 W. Ancona Avenue, Old Mill Creek, Illinois (West Property)</v>
      </c>
      <c r="E9" s="539"/>
      <c r="F9" s="539"/>
      <c r="G9" s="539"/>
      <c r="H9" s="359"/>
      <c r="I9" s="357"/>
      <c r="J9" s="267"/>
      <c r="K9" s="267"/>
      <c r="L9" s="351"/>
      <c r="M9" s="351"/>
      <c r="N9" s="354"/>
    </row>
    <row r="10" spans="2:14" ht="12.75" customHeight="1">
      <c r="B10" s="360" t="s">
        <v>181</v>
      </c>
      <c r="C10" s="274"/>
      <c r="D10" s="540" t="str">
        <f>Overview!C8</f>
        <v>Open land parcel located on western border of the property</v>
      </c>
      <c r="E10" s="539"/>
      <c r="F10" s="539"/>
      <c r="G10" s="539"/>
      <c r="H10" s="538"/>
      <c r="I10" s="537" t="s">
        <v>274</v>
      </c>
      <c r="J10" s="531"/>
      <c r="K10" s="531"/>
      <c r="L10" s="531"/>
      <c r="M10" s="531"/>
      <c r="N10" s="538"/>
    </row>
    <row r="11" spans="2:14" ht="12.75" customHeight="1">
      <c r="B11" s="361"/>
      <c r="C11" s="268"/>
      <c r="D11" s="539"/>
      <c r="E11" s="539"/>
      <c r="F11" s="539"/>
      <c r="G11" s="539"/>
      <c r="H11" s="538"/>
      <c r="I11" s="536" t="s">
        <v>254</v>
      </c>
      <c r="J11" s="531"/>
      <c r="K11" s="345" t="s">
        <v>273</v>
      </c>
      <c r="L11" s="345" t="s">
        <v>272</v>
      </c>
      <c r="M11" s="345" t="s">
        <v>271</v>
      </c>
      <c r="N11" s="352" t="s">
        <v>270</v>
      </c>
    </row>
    <row r="12" spans="2:14" ht="12">
      <c r="B12" s="361"/>
      <c r="C12" s="268"/>
      <c r="D12" s="539"/>
      <c r="E12" s="539"/>
      <c r="F12" s="539"/>
      <c r="G12" s="539"/>
      <c r="H12" s="538"/>
      <c r="I12" s="530">
        <v>1</v>
      </c>
      <c r="J12" s="531"/>
      <c r="K12" s="347">
        <f>Purchase!D$35/1000</f>
        <v>0.06885257449662903</v>
      </c>
      <c r="L12" s="348">
        <f>Purchase!D$150/1000</f>
        <v>0.17317506953039652</v>
      </c>
      <c r="M12" s="347">
        <f>Lease!D150/1000</f>
        <v>0.07932458405729159</v>
      </c>
      <c r="N12" s="355">
        <f>PPA!D150/1000</f>
        <v>0.07278230292055446</v>
      </c>
    </row>
    <row r="13" spans="2:14" ht="12">
      <c r="B13" s="362" t="s">
        <v>204</v>
      </c>
      <c r="C13" s="398"/>
      <c r="D13" s="398"/>
      <c r="E13" s="282" t="str">
        <f>Overview!M5</f>
        <v>Chicago</v>
      </c>
      <c r="F13" s="364"/>
      <c r="G13" s="364"/>
      <c r="H13" s="365"/>
      <c r="I13" s="530">
        <f aca="true" t="shared" si="0" ref="I13:I31">I12+1</f>
        <v>2</v>
      </c>
      <c r="J13" s="531"/>
      <c r="K13" s="347">
        <f>Purchase!E$35/1000</f>
        <v>0.06954110024159532</v>
      </c>
      <c r="L13" s="347">
        <f>L12</f>
        <v>0.17317506953039652</v>
      </c>
      <c r="M13" s="347">
        <f>M12</f>
        <v>0.07932458405729159</v>
      </c>
      <c r="N13" s="355">
        <f>N12</f>
        <v>0.07278230292055446</v>
      </c>
    </row>
    <row r="14" spans="2:14" ht="12">
      <c r="B14" s="362" t="s">
        <v>207</v>
      </c>
      <c r="C14" s="398"/>
      <c r="D14" s="398"/>
      <c r="E14" s="282" t="str">
        <f>Overview!M6</f>
        <v>Ground</v>
      </c>
      <c r="F14" s="364"/>
      <c r="G14" s="364"/>
      <c r="H14" s="365"/>
      <c r="I14" s="530">
        <f t="shared" si="0"/>
        <v>3</v>
      </c>
      <c r="J14" s="531"/>
      <c r="K14" s="347">
        <f>Purchase!F$35/1000</f>
        <v>0.07023651124401127</v>
      </c>
      <c r="L14" s="347">
        <f aca="true" t="shared" si="1" ref="L14:L31">L13</f>
        <v>0.17317506953039652</v>
      </c>
      <c r="M14" s="347">
        <f aca="true" t="shared" si="2" ref="M14:M31">M13</f>
        <v>0.07932458405729159</v>
      </c>
      <c r="N14" s="355">
        <f aca="true" t="shared" si="3" ref="N14:N31">N13</f>
        <v>0.07278230292055446</v>
      </c>
    </row>
    <row r="15" spans="2:14" ht="12">
      <c r="B15" s="362" t="s">
        <v>206</v>
      </c>
      <c r="C15" s="398"/>
      <c r="D15" s="398"/>
      <c r="E15" s="282">
        <f>Overview!M7</f>
        <v>134781</v>
      </c>
      <c r="F15" s="364"/>
      <c r="G15" s="364"/>
      <c r="H15" s="365"/>
      <c r="I15" s="530">
        <f t="shared" si="0"/>
        <v>4</v>
      </c>
      <c r="J15" s="531"/>
      <c r="K15" s="347">
        <f>Purchase!G$35/1000</f>
        <v>0.0709388763564514</v>
      </c>
      <c r="L15" s="347">
        <f t="shared" si="1"/>
        <v>0.17317506953039652</v>
      </c>
      <c r="M15" s="347">
        <f t="shared" si="2"/>
        <v>0.07932458405729159</v>
      </c>
      <c r="N15" s="355">
        <f t="shared" si="3"/>
        <v>0.07278230292055446</v>
      </c>
    </row>
    <row r="16" spans="2:14" ht="12">
      <c r="B16" s="362" t="s">
        <v>205</v>
      </c>
      <c r="C16" s="398"/>
      <c r="D16" s="398"/>
      <c r="E16" s="282" t="str">
        <f>Overview!M8</f>
        <v>Flat</v>
      </c>
      <c r="F16" s="364"/>
      <c r="G16" s="364"/>
      <c r="H16" s="365"/>
      <c r="I16" s="530">
        <f t="shared" si="0"/>
        <v>5</v>
      </c>
      <c r="J16" s="531"/>
      <c r="K16" s="347">
        <f>Purchase!H$35/1000</f>
        <v>0.0716482651200159</v>
      </c>
      <c r="L16" s="347">
        <f t="shared" si="1"/>
        <v>0.17317506953039652</v>
      </c>
      <c r="M16" s="347">
        <f t="shared" si="2"/>
        <v>0.07932458405729159</v>
      </c>
      <c r="N16" s="355">
        <f t="shared" si="3"/>
        <v>0.07278230292055446</v>
      </c>
    </row>
    <row r="17" spans="2:14" ht="12">
      <c r="B17" s="362" t="s">
        <v>201</v>
      </c>
      <c r="C17" s="398"/>
      <c r="D17" s="398"/>
      <c r="E17" s="282">
        <f>Overview!M9</f>
        <v>580.9525862068965</v>
      </c>
      <c r="F17" s="364"/>
      <c r="G17" s="364"/>
      <c r="H17" s="365"/>
      <c r="I17" s="530">
        <f t="shared" si="0"/>
        <v>6</v>
      </c>
      <c r="J17" s="531"/>
      <c r="K17" s="347">
        <f>Purchase!I$35/1000</f>
        <v>0.07236474777121607</v>
      </c>
      <c r="L17" s="347">
        <f t="shared" si="1"/>
        <v>0.17317506953039652</v>
      </c>
      <c r="M17" s="347">
        <f t="shared" si="2"/>
        <v>0.07932458405729159</v>
      </c>
      <c r="N17" s="355">
        <f t="shared" si="3"/>
        <v>0.07278230292055446</v>
      </c>
    </row>
    <row r="18" spans="2:14" ht="12">
      <c r="B18" s="362" t="s">
        <v>195</v>
      </c>
      <c r="C18" s="398"/>
      <c r="D18" s="398"/>
      <c r="E18" s="282">
        <f>Overview!M11</f>
        <v>743410.1674137932</v>
      </c>
      <c r="F18" s="364"/>
      <c r="G18" s="364"/>
      <c r="H18" s="365"/>
      <c r="I18" s="530">
        <f t="shared" si="0"/>
        <v>7</v>
      </c>
      <c r="J18" s="531"/>
      <c r="K18" s="347">
        <f>Purchase!J$35/1000</f>
        <v>0.07308839524892824</v>
      </c>
      <c r="L18" s="347">
        <f t="shared" si="1"/>
        <v>0.17317506953039652</v>
      </c>
      <c r="M18" s="347">
        <f t="shared" si="2"/>
        <v>0.07932458405729159</v>
      </c>
      <c r="N18" s="355">
        <f t="shared" si="3"/>
        <v>0.07278230292055446</v>
      </c>
    </row>
    <row r="19" spans="2:14" ht="12">
      <c r="B19" s="564" t="s">
        <v>68</v>
      </c>
      <c r="C19" s="565"/>
      <c r="D19" s="565"/>
      <c r="E19" s="282">
        <f>Overview!M13</f>
        <v>20</v>
      </c>
      <c r="F19" s="364"/>
      <c r="G19" s="364"/>
      <c r="H19" s="365"/>
      <c r="I19" s="530">
        <f t="shared" si="0"/>
        <v>8</v>
      </c>
      <c r="J19" s="531"/>
      <c r="K19" s="347">
        <f>Purchase!K$35/1000</f>
        <v>0.07381927920141751</v>
      </c>
      <c r="L19" s="347">
        <f t="shared" si="1"/>
        <v>0.17317506953039652</v>
      </c>
      <c r="M19" s="347">
        <f t="shared" si="2"/>
        <v>0.07932458405729159</v>
      </c>
      <c r="N19" s="355">
        <f t="shared" si="3"/>
        <v>0.07278230292055446</v>
      </c>
    </row>
    <row r="20" spans="2:14" ht="12">
      <c r="B20" s="362" t="s">
        <v>122</v>
      </c>
      <c r="C20" s="398"/>
      <c r="D20" s="398"/>
      <c r="E20" s="280">
        <f>Overview!P5</f>
        <v>3</v>
      </c>
      <c r="F20" s="364"/>
      <c r="G20" s="364"/>
      <c r="H20" s="365"/>
      <c r="I20" s="530">
        <f t="shared" si="0"/>
        <v>9</v>
      </c>
      <c r="J20" s="531"/>
      <c r="K20" s="347">
        <f>Purchase!L$35/1000</f>
        <v>0.07455747199343168</v>
      </c>
      <c r="L20" s="347">
        <f t="shared" si="1"/>
        <v>0.17317506953039652</v>
      </c>
      <c r="M20" s="347">
        <f t="shared" si="2"/>
        <v>0.07932458405729159</v>
      </c>
      <c r="N20" s="355">
        <f t="shared" si="3"/>
        <v>0.07278230292055446</v>
      </c>
    </row>
    <row r="21" spans="2:14" ht="12">
      <c r="B21" s="363" t="s">
        <v>257</v>
      </c>
      <c r="C21" s="399"/>
      <c r="D21" s="399"/>
      <c r="E21" s="280">
        <f>Overview!P18</f>
        <v>68.85257449662903</v>
      </c>
      <c r="F21" s="364"/>
      <c r="G21" s="364"/>
      <c r="H21" s="365"/>
      <c r="I21" s="530">
        <f t="shared" si="0"/>
        <v>10</v>
      </c>
      <c r="J21" s="531"/>
      <c r="K21" s="347">
        <f>Purchase!M$35/1000</f>
        <v>0.075303046713366</v>
      </c>
      <c r="L21" s="347">
        <f t="shared" si="1"/>
        <v>0.17317506953039652</v>
      </c>
      <c r="M21" s="347">
        <f t="shared" si="2"/>
        <v>0.07932458405729159</v>
      </c>
      <c r="N21" s="355">
        <f t="shared" si="3"/>
        <v>0.07278230292055446</v>
      </c>
    </row>
    <row r="22" spans="2:14" ht="12">
      <c r="B22" s="362" t="s">
        <v>258</v>
      </c>
      <c r="C22" s="398"/>
      <c r="D22" s="398"/>
      <c r="E22" s="366">
        <f>Overview!P19</f>
        <v>0.01</v>
      </c>
      <c r="F22" s="364"/>
      <c r="G22" s="364"/>
      <c r="H22" s="365"/>
      <c r="I22" s="530">
        <f t="shared" si="0"/>
        <v>11</v>
      </c>
      <c r="J22" s="531"/>
      <c r="K22" s="347">
        <f>Purchase!N$35/1000</f>
        <v>0.07605607718049966</v>
      </c>
      <c r="L22" s="347">
        <f t="shared" si="1"/>
        <v>0.17317506953039652</v>
      </c>
      <c r="M22" s="347">
        <f t="shared" si="2"/>
        <v>0.07932458405729159</v>
      </c>
      <c r="N22" s="355">
        <f t="shared" si="3"/>
        <v>0.07278230292055446</v>
      </c>
    </row>
    <row r="23" spans="2:14" ht="12">
      <c r="B23" s="361"/>
      <c r="C23" s="268"/>
      <c r="D23" s="268"/>
      <c r="E23" s="367"/>
      <c r="F23" s="368"/>
      <c r="G23" s="364"/>
      <c r="H23" s="365"/>
      <c r="I23" s="530">
        <f t="shared" si="0"/>
        <v>12</v>
      </c>
      <c r="J23" s="531"/>
      <c r="K23" s="347">
        <f>Purchase!O$35/1000</f>
        <v>0.07681663795230466</v>
      </c>
      <c r="L23" s="347">
        <f t="shared" si="1"/>
        <v>0.17317506953039652</v>
      </c>
      <c r="M23" s="347">
        <f t="shared" si="2"/>
        <v>0.07932458405729159</v>
      </c>
      <c r="N23" s="355">
        <f t="shared" si="3"/>
        <v>0.07278230292055446</v>
      </c>
    </row>
    <row r="24" spans="2:14" ht="12">
      <c r="B24" s="361"/>
      <c r="C24" s="268"/>
      <c r="D24" s="268"/>
      <c r="E24" s="367"/>
      <c r="F24" s="368"/>
      <c r="G24" s="364"/>
      <c r="H24" s="365"/>
      <c r="I24" s="530">
        <f t="shared" si="0"/>
        <v>13</v>
      </c>
      <c r="J24" s="531"/>
      <c r="K24" s="347">
        <f>Purchase!P$35/1000</f>
        <v>0.07758480433182771</v>
      </c>
      <c r="L24" s="347">
        <f t="shared" si="1"/>
        <v>0.17317506953039652</v>
      </c>
      <c r="M24" s="347">
        <f t="shared" si="2"/>
        <v>0.07932458405729159</v>
      </c>
      <c r="N24" s="355">
        <f t="shared" si="3"/>
        <v>0.07278230292055446</v>
      </c>
    </row>
    <row r="25" spans="2:14" ht="12">
      <c r="B25" s="549" t="s">
        <v>268</v>
      </c>
      <c r="C25" s="550"/>
      <c r="D25" s="550"/>
      <c r="E25" s="550"/>
      <c r="F25" s="550"/>
      <c r="G25" s="550"/>
      <c r="H25" s="551"/>
      <c r="I25" s="530">
        <f t="shared" si="0"/>
        <v>14</v>
      </c>
      <c r="J25" s="531"/>
      <c r="K25" s="347">
        <f>Purchase!Q$35/1000</f>
        <v>0.07836065237514599</v>
      </c>
      <c r="L25" s="347">
        <f t="shared" si="1"/>
        <v>0.17317506953039652</v>
      </c>
      <c r="M25" s="347">
        <f t="shared" si="2"/>
        <v>0.07932458405729159</v>
      </c>
      <c r="N25" s="355">
        <f t="shared" si="3"/>
        <v>0.07278230292055446</v>
      </c>
    </row>
    <row r="26" spans="2:14" ht="12">
      <c r="B26" s="371" t="s">
        <v>267</v>
      </c>
      <c r="C26" s="372"/>
      <c r="D26" s="372"/>
      <c r="E26" s="350"/>
      <c r="F26" s="350" t="s">
        <v>264</v>
      </c>
      <c r="G26" s="372" t="s">
        <v>255</v>
      </c>
      <c r="H26" s="373" t="s">
        <v>183</v>
      </c>
      <c r="I26" s="530">
        <f t="shared" si="0"/>
        <v>15</v>
      </c>
      <c r="J26" s="531"/>
      <c r="K26" s="347">
        <f>Purchase!R$35/1000</f>
        <v>0.07914425889889745</v>
      </c>
      <c r="L26" s="347">
        <f t="shared" si="1"/>
        <v>0.17317506953039652</v>
      </c>
      <c r="M26" s="347">
        <f t="shared" si="2"/>
        <v>0.07932458405729159</v>
      </c>
      <c r="N26" s="355">
        <f t="shared" si="3"/>
        <v>0.07278230292055446</v>
      </c>
    </row>
    <row r="27" spans="2:14" ht="12">
      <c r="B27" s="552" t="s">
        <v>285</v>
      </c>
      <c r="C27" s="553"/>
      <c r="D27" s="553"/>
      <c r="E27" s="553"/>
      <c r="F27" s="357" t="s">
        <v>266</v>
      </c>
      <c r="G27" s="369" t="s">
        <v>265</v>
      </c>
      <c r="H27" s="370" t="s">
        <v>265</v>
      </c>
      <c r="I27" s="530">
        <f t="shared" si="0"/>
        <v>16</v>
      </c>
      <c r="J27" s="531"/>
      <c r="K27" s="347">
        <f>Purchase!S$35/1000</f>
        <v>0.07993570148788642</v>
      </c>
      <c r="L27" s="347">
        <f t="shared" si="1"/>
        <v>0.17317506953039652</v>
      </c>
      <c r="M27" s="347">
        <f t="shared" si="2"/>
        <v>0.07932458405729159</v>
      </c>
      <c r="N27" s="355">
        <f t="shared" si="3"/>
        <v>0.07278230292055446</v>
      </c>
    </row>
    <row r="28" spans="2:14" ht="12">
      <c r="B28" s="552" t="s">
        <v>286</v>
      </c>
      <c r="C28" s="553"/>
      <c r="D28" s="553"/>
      <c r="E28" s="553"/>
      <c r="F28" s="369" t="s">
        <v>266</v>
      </c>
      <c r="G28" s="369" t="s">
        <v>266</v>
      </c>
      <c r="H28" s="370" t="s">
        <v>265</v>
      </c>
      <c r="I28" s="530">
        <f t="shared" si="0"/>
        <v>17</v>
      </c>
      <c r="J28" s="531"/>
      <c r="K28" s="347">
        <f>Purchase!T$35/1000</f>
        <v>0.08073505850276529</v>
      </c>
      <c r="L28" s="347">
        <f t="shared" si="1"/>
        <v>0.17317506953039652</v>
      </c>
      <c r="M28" s="347">
        <f t="shared" si="2"/>
        <v>0.07932458405729159</v>
      </c>
      <c r="N28" s="355">
        <f t="shared" si="3"/>
        <v>0.07278230292055446</v>
      </c>
    </row>
    <row r="29" spans="2:14" ht="12">
      <c r="B29" s="552" t="s">
        <v>287</v>
      </c>
      <c r="C29" s="553"/>
      <c r="D29" s="553"/>
      <c r="E29" s="553"/>
      <c r="F29" s="369" t="s">
        <v>266</v>
      </c>
      <c r="G29" s="369" t="s">
        <v>266</v>
      </c>
      <c r="H29" s="370" t="s">
        <v>266</v>
      </c>
      <c r="I29" s="530">
        <f t="shared" si="0"/>
        <v>18</v>
      </c>
      <c r="J29" s="531"/>
      <c r="K29" s="347">
        <f>Purchase!U$35/1000</f>
        <v>0.08154240908779294</v>
      </c>
      <c r="L29" s="347">
        <f t="shared" si="1"/>
        <v>0.17317506953039652</v>
      </c>
      <c r="M29" s="347">
        <f t="shared" si="2"/>
        <v>0.07932458405729159</v>
      </c>
      <c r="N29" s="355">
        <f t="shared" si="3"/>
        <v>0.07278230292055446</v>
      </c>
    </row>
    <row r="30" spans="2:14" ht="12">
      <c r="B30" s="552" t="s">
        <v>288</v>
      </c>
      <c r="C30" s="553"/>
      <c r="D30" s="553"/>
      <c r="E30" s="553"/>
      <c r="F30" s="357" t="s">
        <v>265</v>
      </c>
      <c r="G30" s="369" t="s">
        <v>266</v>
      </c>
      <c r="H30" s="370" t="s">
        <v>266</v>
      </c>
      <c r="I30" s="530">
        <f t="shared" si="0"/>
        <v>19</v>
      </c>
      <c r="J30" s="531"/>
      <c r="K30" s="347">
        <f>Purchase!V$35/1000</f>
        <v>0.08235783317867086</v>
      </c>
      <c r="L30" s="347">
        <f t="shared" si="1"/>
        <v>0.17317506953039652</v>
      </c>
      <c r="M30" s="347">
        <f t="shared" si="2"/>
        <v>0.07932458405729159</v>
      </c>
      <c r="N30" s="355">
        <f t="shared" si="3"/>
        <v>0.07278230292055446</v>
      </c>
    </row>
    <row r="31" spans="2:14" ht="12">
      <c r="B31" s="552" t="s">
        <v>289</v>
      </c>
      <c r="C31" s="553"/>
      <c r="D31" s="553"/>
      <c r="E31" s="553"/>
      <c r="F31" s="357" t="s">
        <v>265</v>
      </c>
      <c r="G31" s="369" t="s">
        <v>266</v>
      </c>
      <c r="H31" s="370" t="s">
        <v>266</v>
      </c>
      <c r="I31" s="530">
        <f t="shared" si="0"/>
        <v>20</v>
      </c>
      <c r="J31" s="531"/>
      <c r="K31" s="347">
        <f>Purchase!W$35/1000</f>
        <v>0.08318141151045756</v>
      </c>
      <c r="L31" s="347">
        <f t="shared" si="1"/>
        <v>0.17317506953039652</v>
      </c>
      <c r="M31" s="347">
        <f t="shared" si="2"/>
        <v>0.07932458405729159</v>
      </c>
      <c r="N31" s="355">
        <f t="shared" si="3"/>
        <v>0.07278230292055446</v>
      </c>
    </row>
    <row r="32" spans="2:14" ht="12">
      <c r="B32" s="552" t="s">
        <v>269</v>
      </c>
      <c r="C32" s="553"/>
      <c r="D32" s="553"/>
      <c r="E32" s="553"/>
      <c r="F32" s="369" t="s">
        <v>266</v>
      </c>
      <c r="G32" s="369" t="s">
        <v>266</v>
      </c>
      <c r="H32" s="370" t="s">
        <v>265</v>
      </c>
      <c r="I32" s="556"/>
      <c r="J32" s="557"/>
      <c r="K32" s="349"/>
      <c r="L32" s="349"/>
      <c r="M32" s="349"/>
      <c r="N32" s="356"/>
    </row>
    <row r="33" spans="2:14" ht="12">
      <c r="B33" s="552" t="s">
        <v>290</v>
      </c>
      <c r="C33" s="553"/>
      <c r="D33" s="553"/>
      <c r="E33" s="553"/>
      <c r="F33" s="369" t="s">
        <v>266</v>
      </c>
      <c r="G33" s="369" t="s">
        <v>266</v>
      </c>
      <c r="H33" s="370" t="s">
        <v>265</v>
      </c>
      <c r="I33" s="543" t="s">
        <v>276</v>
      </c>
      <c r="J33" s="544"/>
      <c r="K33" s="544"/>
      <c r="L33" s="544"/>
      <c r="M33" s="544"/>
      <c r="N33" s="545"/>
    </row>
    <row r="34" spans="2:14" ht="12">
      <c r="B34" s="554"/>
      <c r="C34" s="555"/>
      <c r="D34" s="555"/>
      <c r="E34" s="555"/>
      <c r="F34" s="369"/>
      <c r="G34" s="369"/>
      <c r="H34" s="370"/>
      <c r="I34" s="543" t="s">
        <v>275</v>
      </c>
      <c r="J34" s="544"/>
      <c r="K34" s="544"/>
      <c r="L34" s="544"/>
      <c r="M34" s="544"/>
      <c r="N34" s="545"/>
    </row>
    <row r="35" spans="2:14" ht="12">
      <c r="B35" s="549" t="s">
        <v>291</v>
      </c>
      <c r="C35" s="550"/>
      <c r="D35" s="550"/>
      <c r="E35" s="550"/>
      <c r="F35" s="550"/>
      <c r="G35" s="550"/>
      <c r="H35" s="551"/>
      <c r="I35" s="543" t="s">
        <v>277</v>
      </c>
      <c r="J35" s="544"/>
      <c r="K35" s="544"/>
      <c r="L35" s="544"/>
      <c r="M35" s="544"/>
      <c r="N35" s="545"/>
    </row>
    <row r="36" spans="2:14" ht="26.25" customHeight="1">
      <c r="B36" s="562" t="s">
        <v>228</v>
      </c>
      <c r="C36" s="558" t="s">
        <v>293</v>
      </c>
      <c r="D36" s="558" t="s">
        <v>294</v>
      </c>
      <c r="E36" s="558" t="s">
        <v>331</v>
      </c>
      <c r="F36" s="558" t="s">
        <v>332</v>
      </c>
      <c r="G36" s="558" t="s">
        <v>333</v>
      </c>
      <c r="H36" s="560" t="s">
        <v>292</v>
      </c>
      <c r="I36" s="546"/>
      <c r="J36" s="547"/>
      <c r="K36" s="547"/>
      <c r="L36" s="547"/>
      <c r="M36" s="547"/>
      <c r="N36" s="548"/>
    </row>
    <row r="37" spans="2:14" ht="26.25" customHeight="1">
      <c r="B37" s="563"/>
      <c r="C37" s="559"/>
      <c r="D37" s="536"/>
      <c r="E37" s="536"/>
      <c r="F37" s="536"/>
      <c r="G37" s="536"/>
      <c r="H37" s="561"/>
      <c r="I37" s="543" t="s">
        <v>278</v>
      </c>
      <c r="J37" s="544"/>
      <c r="K37" s="544"/>
      <c r="L37" s="544"/>
      <c r="M37" s="544"/>
      <c r="N37" s="545"/>
    </row>
    <row r="38" spans="2:14" ht="12">
      <c r="B38" s="393" t="str">
        <f>'Weather Data'!A4</f>
        <v>January</v>
      </c>
      <c r="C38" s="358">
        <f>'Weather Data'!B4</f>
        <v>3.05</v>
      </c>
      <c r="D38" s="394">
        <f>(Overview!$M$9/100)*'Weather Data'!C4</f>
        <v>47777.54068965517</v>
      </c>
      <c r="E38" s="400">
        <f>'Use and Costs'!M22</f>
        <v>106346</v>
      </c>
      <c r="F38" s="400">
        <f>'Use and Costs'!K22</f>
        <v>0</v>
      </c>
      <c r="G38" s="400">
        <f>'Use and Costs'!M22</f>
        <v>106346</v>
      </c>
      <c r="H38" s="396">
        <f aca="true" t="shared" si="4" ref="H38:H49">D38*$E$21/1000</f>
        <v>3289.606679600208</v>
      </c>
      <c r="I38" s="547"/>
      <c r="J38" s="547"/>
      <c r="K38" s="547"/>
      <c r="L38" s="547"/>
      <c r="M38" s="547"/>
      <c r="N38" s="548"/>
    </row>
    <row r="39" spans="2:14" ht="12">
      <c r="B39" s="393" t="str">
        <f>'Weather Data'!A5</f>
        <v>February</v>
      </c>
      <c r="C39" s="358">
        <f>'Weather Data'!B5</f>
        <v>3.78</v>
      </c>
      <c r="D39" s="394">
        <f>(Overview!$M$9/100)*'Weather Data'!C5</f>
        <v>52355.44706896551</v>
      </c>
      <c r="E39" s="400">
        <f>'Use and Costs'!M23</f>
        <v>103357</v>
      </c>
      <c r="F39" s="400">
        <f>'Use and Costs'!K23</f>
        <v>0</v>
      </c>
      <c r="G39" s="400">
        <f>'Use and Costs'!M23</f>
        <v>103357</v>
      </c>
      <c r="H39" s="396">
        <f t="shared" si="4"/>
        <v>3604.8073196202663</v>
      </c>
      <c r="I39" s="543" t="s">
        <v>279</v>
      </c>
      <c r="J39" s="544"/>
      <c r="K39" s="544"/>
      <c r="L39" s="544"/>
      <c r="M39" s="544"/>
      <c r="N39" s="545"/>
    </row>
    <row r="40" spans="2:14" ht="12">
      <c r="B40" s="393" t="str">
        <f>'Weather Data'!A6</f>
        <v>March</v>
      </c>
      <c r="C40" s="358">
        <f>'Weather Data'!B6</f>
        <v>4.82</v>
      </c>
      <c r="D40" s="394">
        <f>(Overview!$M$9/100)*'Weather Data'!C6</f>
        <v>71108.59655172414</v>
      </c>
      <c r="E40" s="400">
        <f>'Use and Costs'!M24</f>
        <v>95442</v>
      </c>
      <c r="F40" s="400">
        <f>'Use and Costs'!K24</f>
        <v>0</v>
      </c>
      <c r="G40" s="400">
        <f>'Use and Costs'!M24</f>
        <v>95442</v>
      </c>
      <c r="H40" s="396">
        <f t="shared" si="4"/>
        <v>4896.009941428325</v>
      </c>
      <c r="I40" s="546"/>
      <c r="J40" s="547"/>
      <c r="K40" s="547"/>
      <c r="L40" s="547"/>
      <c r="M40" s="547"/>
      <c r="N40" s="548"/>
    </row>
    <row r="41" spans="2:14" ht="12">
      <c r="B41" s="393" t="str">
        <f>'Weather Data'!A7</f>
        <v>April</v>
      </c>
      <c r="C41" s="358">
        <f>'Weather Data'!B7</f>
        <v>5.49</v>
      </c>
      <c r="D41" s="394">
        <f>(Overview!$M$9/100)*'Weather Data'!C7</f>
        <v>75976.97922413793</v>
      </c>
      <c r="E41" s="400">
        <f>'Use and Costs'!M25</f>
        <v>90318</v>
      </c>
      <c r="F41" s="400">
        <f>'Use and Costs'!K25</f>
        <v>0</v>
      </c>
      <c r="G41" s="400">
        <f>'Use and Costs'!M25</f>
        <v>90318</v>
      </c>
      <c r="H41" s="396">
        <f t="shared" si="4"/>
        <v>5231.210622058793</v>
      </c>
      <c r="I41" s="361"/>
      <c r="J41" s="268"/>
      <c r="K41" s="268"/>
      <c r="L41" s="268"/>
      <c r="M41" s="268"/>
      <c r="N41" s="374"/>
    </row>
    <row r="42" spans="2:14" ht="12">
      <c r="B42" s="393" t="str">
        <f>'Weather Data'!A8</f>
        <v>May</v>
      </c>
      <c r="C42" s="358">
        <f>'Weather Data'!B8</f>
        <v>6.07</v>
      </c>
      <c r="D42" s="394">
        <f>(Overview!$M$9/100)*'Weather Data'!C8</f>
        <v>84098.69637931035</v>
      </c>
      <c r="E42" s="400">
        <f>'Use and Costs'!M26</f>
        <v>87371</v>
      </c>
      <c r="F42" s="400">
        <f>'Use and Costs'!K26</f>
        <v>0</v>
      </c>
      <c r="G42" s="400">
        <f>'Use and Costs'!M26</f>
        <v>87371</v>
      </c>
      <c r="H42" s="396">
        <f t="shared" si="4"/>
        <v>5790.4117575258515</v>
      </c>
      <c r="I42" s="361"/>
      <c r="J42" s="268"/>
      <c r="K42" s="268"/>
      <c r="L42" s="268"/>
      <c r="M42" s="268"/>
      <c r="N42" s="374"/>
    </row>
    <row r="43" spans="2:14" ht="12">
      <c r="B43" s="393" t="str">
        <f>'Weather Data'!A9</f>
        <v>June</v>
      </c>
      <c r="C43" s="358">
        <f>'Weather Data'!B9</f>
        <v>6.4</v>
      </c>
      <c r="D43" s="394">
        <f>(Overview!$M$9/100)*'Weather Data'!C9</f>
        <v>84232.31547413793</v>
      </c>
      <c r="E43" s="400">
        <f>'Use and Costs'!M27</f>
        <v>93630</v>
      </c>
      <c r="F43" s="400">
        <f>'Use and Costs'!K27</f>
        <v>0</v>
      </c>
      <c r="G43" s="400">
        <f>'Use and Costs'!M27</f>
        <v>93630</v>
      </c>
      <c r="H43" s="396">
        <f t="shared" si="4"/>
        <v>5799.61177620664</v>
      </c>
      <c r="I43" s="361"/>
      <c r="J43" s="268"/>
      <c r="K43" s="268"/>
      <c r="L43" s="268"/>
      <c r="M43" s="268"/>
      <c r="N43" s="374"/>
    </row>
    <row r="44" spans="2:14" ht="12">
      <c r="B44" s="393" t="str">
        <f>'Weather Data'!A10</f>
        <v>July</v>
      </c>
      <c r="C44" s="358">
        <f>'Weather Data'!B10</f>
        <v>6.38</v>
      </c>
      <c r="D44" s="394">
        <f>(Overview!$M$9/100)*'Weather Data'!C10</f>
        <v>85469.74448275862</v>
      </c>
      <c r="E44" s="400">
        <f>'Use and Costs'!M28</f>
        <v>111615</v>
      </c>
      <c r="F44" s="400">
        <f>'Use and Costs'!K28</f>
        <v>0</v>
      </c>
      <c r="G44" s="400">
        <f>'Use and Costs'!M28</f>
        <v>111615</v>
      </c>
      <c r="H44" s="396">
        <f t="shared" si="4"/>
        <v>5884.811949206985</v>
      </c>
      <c r="I44" s="361"/>
      <c r="J44" s="268"/>
      <c r="K44" s="268"/>
      <c r="L44" s="268"/>
      <c r="M44" s="268"/>
      <c r="N44" s="374"/>
    </row>
    <row r="45" spans="2:14" ht="12">
      <c r="B45" s="393" t="str">
        <f>'Weather Data'!A11</f>
        <v>August</v>
      </c>
      <c r="C45" s="358">
        <f>'Weather Data'!B11</f>
        <v>5.7</v>
      </c>
      <c r="D45" s="394">
        <f>(Overview!$M$9/100)*'Weather Data'!C11</f>
        <v>76679.93185344827</v>
      </c>
      <c r="E45" s="400">
        <f>'Use and Costs'!M29</f>
        <v>94448</v>
      </c>
      <c r="F45" s="400">
        <f>'Use and Costs'!K29</f>
        <v>0</v>
      </c>
      <c r="G45" s="400">
        <f>'Use and Costs'!M29</f>
        <v>94448</v>
      </c>
      <c r="H45" s="396">
        <f t="shared" si="4"/>
        <v>5279.610720335984</v>
      </c>
      <c r="I45" s="361"/>
      <c r="J45" s="268"/>
      <c r="K45" s="268"/>
      <c r="L45" s="268"/>
      <c r="M45" s="268"/>
      <c r="N45" s="374"/>
    </row>
    <row r="46" spans="2:14" ht="12">
      <c r="B46" s="393" t="str">
        <f>'Weather Data'!A12</f>
        <v>September</v>
      </c>
      <c r="C46" s="358">
        <f>'Weather Data'!B12</f>
        <v>5.17</v>
      </c>
      <c r="D46" s="394">
        <f>(Overview!$M$9/100)*'Weather Data'!C12</f>
        <v>68970.69103448276</v>
      </c>
      <c r="E46" s="400">
        <f>'Use and Costs'!M30</f>
        <v>97358</v>
      </c>
      <c r="F46" s="400">
        <f>'Use and Costs'!K30</f>
        <v>0</v>
      </c>
      <c r="G46" s="400">
        <f>'Use and Costs'!M30</f>
        <v>97358</v>
      </c>
      <c r="H46" s="396">
        <f t="shared" si="4"/>
        <v>4748.809642535709</v>
      </c>
      <c r="I46" s="361"/>
      <c r="J46" s="268"/>
      <c r="K46" s="268"/>
      <c r="L46" s="268"/>
      <c r="M46" s="268"/>
      <c r="N46" s="374"/>
    </row>
    <row r="47" spans="2:14" ht="12">
      <c r="B47" s="393" t="str">
        <f>'Weather Data'!A13</f>
        <v>October</v>
      </c>
      <c r="C47" s="358">
        <f>'Weather Data'!B13</f>
        <v>4.36</v>
      </c>
      <c r="D47" s="394">
        <f>(Overview!$M$9/100)*'Weather Data'!C13</f>
        <v>62516.307801724135</v>
      </c>
      <c r="E47" s="400">
        <f>'Use and Costs'!M31</f>
        <v>91990</v>
      </c>
      <c r="F47" s="400">
        <f>'Use and Costs'!K31</f>
        <v>0</v>
      </c>
      <c r="G47" s="400">
        <f>'Use and Costs'!M31</f>
        <v>91990</v>
      </c>
      <c r="H47" s="396">
        <f t="shared" si="4"/>
        <v>4304.408740172402</v>
      </c>
      <c r="I47" s="361"/>
      <c r="J47" s="268"/>
      <c r="K47" s="268"/>
      <c r="L47" s="268"/>
      <c r="M47" s="268"/>
      <c r="N47" s="374"/>
    </row>
    <row r="48" spans="2:14" ht="12">
      <c r="B48" s="393" t="str">
        <f>'Weather Data'!A14</f>
        <v>November</v>
      </c>
      <c r="C48" s="358">
        <f>'Weather Data'!B14</f>
        <v>3.07</v>
      </c>
      <c r="D48" s="394">
        <f>(Overview!$M$9/100)*'Weather Data'!C14</f>
        <v>44408.01568965517</v>
      </c>
      <c r="E48" s="400">
        <f>'Use and Costs'!M32</f>
        <v>87353</v>
      </c>
      <c r="F48" s="400">
        <f>'Use and Costs'!K32</f>
        <v>0</v>
      </c>
      <c r="G48" s="400">
        <f>'Use and Costs'!M32</f>
        <v>87353</v>
      </c>
      <c r="H48" s="396">
        <f t="shared" si="4"/>
        <v>3057.6062085194535</v>
      </c>
      <c r="I48" s="361"/>
      <c r="J48" s="268"/>
      <c r="K48" s="268"/>
      <c r="L48" s="268"/>
      <c r="M48" s="268"/>
      <c r="N48" s="374"/>
    </row>
    <row r="49" spans="2:14" ht="12">
      <c r="B49" s="393" t="str">
        <f>'Weather Data'!A15</f>
        <v>December</v>
      </c>
      <c r="C49" s="358">
        <f>'Weather Data'!B15</f>
        <v>2.54</v>
      </c>
      <c r="D49" s="394">
        <f>(Overview!$M$9/100)*'Weather Data'!C15</f>
        <v>39690.68068965517</v>
      </c>
      <c r="E49" s="400">
        <f>'Use and Costs'!M33</f>
        <v>113556</v>
      </c>
      <c r="F49" s="400">
        <f>'Use and Costs'!K33</f>
        <v>0</v>
      </c>
      <c r="G49" s="400">
        <f>'Use and Costs'!M33</f>
        <v>113556</v>
      </c>
      <c r="H49" s="396">
        <f t="shared" si="4"/>
        <v>2732.805549006398</v>
      </c>
      <c r="I49" s="361"/>
      <c r="J49" s="268"/>
      <c r="K49" s="268"/>
      <c r="L49" s="268"/>
      <c r="M49" s="268"/>
      <c r="N49" s="374"/>
    </row>
    <row r="50" spans="2:14" ht="12">
      <c r="B50" s="371" t="str">
        <f>'Weather Data'!A16</f>
        <v>Annual</v>
      </c>
      <c r="C50" s="372"/>
      <c r="D50" s="395">
        <f>SUM(D38:D49)</f>
        <v>793284.9469396552</v>
      </c>
      <c r="E50" s="395">
        <f>SUM(E38:E49)</f>
        <v>1172784</v>
      </c>
      <c r="F50" s="395">
        <f>SUM(F38:F49)</f>
        <v>0</v>
      </c>
      <c r="G50" s="395">
        <f>SUM(G38:G49)</f>
        <v>1172784</v>
      </c>
      <c r="H50" s="397">
        <f>SUM(H38:H49)</f>
        <v>54619.71090621702</v>
      </c>
      <c r="I50" s="361"/>
      <c r="J50" s="268"/>
      <c r="K50" s="268"/>
      <c r="L50" s="268"/>
      <c r="M50" s="268"/>
      <c r="N50" s="374"/>
    </row>
  </sheetData>
  <sheetProtection/>
  <mergeCells count="54">
    <mergeCell ref="D9:G9"/>
    <mergeCell ref="B19:D19"/>
    <mergeCell ref="B30:E30"/>
    <mergeCell ref="B29:E29"/>
    <mergeCell ref="B28:E28"/>
    <mergeCell ref="B25:H25"/>
    <mergeCell ref="B27:E27"/>
    <mergeCell ref="H36:H37"/>
    <mergeCell ref="D36:D37"/>
    <mergeCell ref="B36:B37"/>
    <mergeCell ref="I34:N34"/>
    <mergeCell ref="I35:N36"/>
    <mergeCell ref="I37:N38"/>
    <mergeCell ref="E36:E37"/>
    <mergeCell ref="F36:F37"/>
    <mergeCell ref="G36:G37"/>
    <mergeCell ref="I39:N40"/>
    <mergeCell ref="B35:H35"/>
    <mergeCell ref="B31:E31"/>
    <mergeCell ref="B32:E32"/>
    <mergeCell ref="B33:E33"/>
    <mergeCell ref="B34:E34"/>
    <mergeCell ref="I31:J31"/>
    <mergeCell ref="I32:J32"/>
    <mergeCell ref="I33:N33"/>
    <mergeCell ref="C36:C37"/>
    <mergeCell ref="I12:J12"/>
    <mergeCell ref="I7:K7"/>
    <mergeCell ref="I8:K8"/>
    <mergeCell ref="I6:N6"/>
    <mergeCell ref="B6:H6"/>
    <mergeCell ref="I11:J11"/>
    <mergeCell ref="I10:N10"/>
    <mergeCell ref="D8:G8"/>
    <mergeCell ref="D10:H12"/>
    <mergeCell ref="D7:G7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</mergeCells>
  <printOptions/>
  <pageMargins left="0.75" right="0.75" top="1" bottom="1" header="0.5" footer="0.5"/>
  <pageSetup fitToHeight="2" fitToWidth="2" horizontalDpi="600" verticalDpi="600" orientation="landscape" scale="6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1:AQ63"/>
  <sheetViews>
    <sheetView showGridLines="0" zoomScale="70" zoomScaleNormal="70" workbookViewId="0" topLeftCell="A1">
      <selection activeCell="C41" sqref="C41"/>
    </sheetView>
  </sheetViews>
  <sheetFormatPr defaultColWidth="8.8515625" defaultRowHeight="12.75"/>
  <cols>
    <col min="1" max="1" width="8.8515625" style="0" customWidth="1"/>
    <col min="2" max="2" width="29.421875" style="0" customWidth="1"/>
    <col min="3" max="3" width="23.7109375" style="0" customWidth="1"/>
    <col min="4" max="7" width="10.140625" style="0" customWidth="1"/>
    <col min="8" max="8" width="11.140625" style="0" customWidth="1"/>
    <col min="9" max="10" width="10.140625" style="0" customWidth="1"/>
    <col min="11" max="11" width="11.140625" style="0" customWidth="1"/>
    <col min="12" max="12" width="10.8515625" style="0" customWidth="1"/>
    <col min="13" max="14" width="10.140625" style="0" customWidth="1"/>
    <col min="15" max="15" width="8.8515625" style="0" customWidth="1"/>
    <col min="16" max="16" width="29.421875" style="0" customWidth="1"/>
    <col min="17" max="17" width="23.7109375" style="0" customWidth="1"/>
    <col min="18" max="21" width="10.140625" style="0" customWidth="1"/>
    <col min="22" max="22" width="11.140625" style="0" customWidth="1"/>
    <col min="23" max="24" width="10.140625" style="0" customWidth="1"/>
    <col min="25" max="25" width="11.140625" style="0" customWidth="1"/>
    <col min="26" max="26" width="10.8515625" style="0" customWidth="1"/>
    <col min="27" max="28" width="10.140625" style="0" customWidth="1"/>
    <col min="29" max="30" width="8.8515625" style="0" customWidth="1"/>
    <col min="31" max="31" width="29.421875" style="0" customWidth="1"/>
    <col min="32" max="32" width="23.7109375" style="0" customWidth="1"/>
    <col min="33" max="36" width="10.140625" style="0" customWidth="1"/>
    <col min="37" max="37" width="11.140625" style="0" customWidth="1"/>
    <col min="38" max="39" width="10.140625" style="0" customWidth="1"/>
    <col min="40" max="40" width="11.140625" style="0" customWidth="1"/>
    <col min="41" max="41" width="10.8515625" style="0" customWidth="1"/>
    <col min="42" max="43" width="10.140625" style="0" customWidth="1"/>
  </cols>
  <sheetData>
    <row r="1" spans="1:43" ht="12.75">
      <c r="A1" s="4"/>
      <c r="B1" s="4"/>
      <c r="C1" s="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6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D1" s="4"/>
      <c r="AE1" s="4"/>
      <c r="AF1" s="6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20.25">
      <c r="A2" s="4"/>
      <c r="B2" s="69" t="s">
        <v>120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9" t="s">
        <v>120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D2" s="4"/>
      <c r="AE2" s="69" t="s">
        <v>120</v>
      </c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3.5" thickBot="1">
      <c r="A3" s="4"/>
      <c r="B3" s="126" t="s">
        <v>184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6" t="s">
        <v>185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D3" s="4"/>
      <c r="AE3" s="126" t="s">
        <v>186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51.75" thickBot="1">
      <c r="A4" s="4"/>
      <c r="B4" s="39" t="s">
        <v>118</v>
      </c>
      <c r="C4" s="40" t="s">
        <v>119</v>
      </c>
      <c r="D4" s="41" t="s">
        <v>130</v>
      </c>
      <c r="E4" s="41" t="s">
        <v>122</v>
      </c>
      <c r="F4" s="41" t="s">
        <v>121</v>
      </c>
      <c r="G4" s="41" t="s">
        <v>68</v>
      </c>
      <c r="H4" s="41" t="s">
        <v>42</v>
      </c>
      <c r="I4" s="41" t="s">
        <v>36</v>
      </c>
      <c r="J4" s="41" t="s">
        <v>43</v>
      </c>
      <c r="K4" s="41" t="s">
        <v>40</v>
      </c>
      <c r="L4" s="41" t="s">
        <v>44</v>
      </c>
      <c r="M4" s="41" t="s">
        <v>41</v>
      </c>
      <c r="N4" s="42" t="s">
        <v>39</v>
      </c>
      <c r="O4" s="4"/>
      <c r="P4" s="39" t="s">
        <v>118</v>
      </c>
      <c r="Q4" s="40" t="s">
        <v>119</v>
      </c>
      <c r="R4" s="41" t="s">
        <v>130</v>
      </c>
      <c r="S4" s="41" t="s">
        <v>122</v>
      </c>
      <c r="T4" s="41" t="s">
        <v>121</v>
      </c>
      <c r="U4" s="41" t="s">
        <v>68</v>
      </c>
      <c r="V4" s="41" t="s">
        <v>42</v>
      </c>
      <c r="W4" s="41" t="s">
        <v>36</v>
      </c>
      <c r="X4" s="41" t="s">
        <v>43</v>
      </c>
      <c r="Y4" s="41" t="s">
        <v>40</v>
      </c>
      <c r="Z4" s="41" t="s">
        <v>44</v>
      </c>
      <c r="AA4" s="41" t="s">
        <v>41</v>
      </c>
      <c r="AB4" s="42" t="s">
        <v>39</v>
      </c>
      <c r="AD4" s="4"/>
      <c r="AE4" s="39" t="s">
        <v>118</v>
      </c>
      <c r="AF4" s="40" t="s">
        <v>119</v>
      </c>
      <c r="AG4" s="41" t="s">
        <v>130</v>
      </c>
      <c r="AH4" s="41" t="s">
        <v>122</v>
      </c>
      <c r="AI4" s="41" t="s">
        <v>121</v>
      </c>
      <c r="AJ4" s="41" t="s">
        <v>68</v>
      </c>
      <c r="AK4" s="41" t="s">
        <v>42</v>
      </c>
      <c r="AL4" s="41" t="s">
        <v>36</v>
      </c>
      <c r="AM4" s="41" t="s">
        <v>43</v>
      </c>
      <c r="AN4" s="41" t="s">
        <v>40</v>
      </c>
      <c r="AO4" s="41" t="s">
        <v>44</v>
      </c>
      <c r="AP4" s="41" t="s">
        <v>41</v>
      </c>
      <c r="AQ4" s="42" t="s">
        <v>39</v>
      </c>
    </row>
    <row r="5" spans="1:43" ht="12.75">
      <c r="A5" s="4"/>
      <c r="B5" s="104" t="s">
        <v>144</v>
      </c>
      <c r="C5" s="49" t="s">
        <v>140</v>
      </c>
      <c r="D5" s="70">
        <v>0.5</v>
      </c>
      <c r="E5" s="71">
        <v>3.25</v>
      </c>
      <c r="F5" s="97">
        <v>0.1409056316590563</v>
      </c>
      <c r="G5" s="73">
        <v>20</v>
      </c>
      <c r="H5" s="57">
        <v>0.01</v>
      </c>
      <c r="I5" s="74">
        <v>20</v>
      </c>
      <c r="J5" s="43">
        <v>0.01</v>
      </c>
      <c r="K5" s="75">
        <v>0.25</v>
      </c>
      <c r="L5" s="76">
        <v>10</v>
      </c>
      <c r="M5" s="74">
        <v>20</v>
      </c>
      <c r="N5" s="77">
        <v>0.01</v>
      </c>
      <c r="O5" s="4"/>
      <c r="P5" s="104" t="s">
        <v>144</v>
      </c>
      <c r="Q5" s="49" t="s">
        <v>140</v>
      </c>
      <c r="R5" s="70">
        <v>0.5</v>
      </c>
      <c r="S5" s="71">
        <v>3.25</v>
      </c>
      <c r="T5" s="97">
        <v>0.1409056316590563</v>
      </c>
      <c r="U5" s="73">
        <v>20</v>
      </c>
      <c r="V5" s="57">
        <v>0.01</v>
      </c>
      <c r="W5" s="74">
        <v>20</v>
      </c>
      <c r="X5" s="43">
        <v>0.01</v>
      </c>
      <c r="Y5" s="75">
        <v>0.25</v>
      </c>
      <c r="Z5" s="76">
        <v>10</v>
      </c>
      <c r="AA5" s="74">
        <v>20</v>
      </c>
      <c r="AB5" s="77">
        <v>0.01</v>
      </c>
      <c r="AD5" s="4"/>
      <c r="AE5" s="104" t="s">
        <v>144</v>
      </c>
      <c r="AF5" s="49" t="s">
        <v>140</v>
      </c>
      <c r="AG5" s="70">
        <v>0.5</v>
      </c>
      <c r="AH5" s="71">
        <v>3.25</v>
      </c>
      <c r="AI5" s="97">
        <v>0.1409056316590563</v>
      </c>
      <c r="AJ5" s="73">
        <v>20</v>
      </c>
      <c r="AK5" s="57">
        <v>0.01</v>
      </c>
      <c r="AL5" s="74">
        <v>20</v>
      </c>
      <c r="AM5" s="43">
        <v>0.01</v>
      </c>
      <c r="AN5" s="75">
        <v>0.25</v>
      </c>
      <c r="AO5" s="76">
        <v>10</v>
      </c>
      <c r="AP5" s="74">
        <v>20</v>
      </c>
      <c r="AQ5" s="77">
        <v>0.01</v>
      </c>
    </row>
    <row r="6" spans="1:43" ht="12.75">
      <c r="A6" s="4"/>
      <c r="B6" s="48"/>
      <c r="C6" s="49" t="s">
        <v>141</v>
      </c>
      <c r="D6" s="70">
        <v>0.5</v>
      </c>
      <c r="E6" s="71">
        <v>3.25</v>
      </c>
      <c r="F6" s="97">
        <v>0.13862252663622526</v>
      </c>
      <c r="G6" s="73">
        <v>20</v>
      </c>
      <c r="H6" s="57">
        <v>0.01</v>
      </c>
      <c r="I6" s="74">
        <v>20</v>
      </c>
      <c r="J6" s="43">
        <v>0.01</v>
      </c>
      <c r="K6" s="75">
        <v>0.25</v>
      </c>
      <c r="L6" s="76">
        <v>10</v>
      </c>
      <c r="M6" s="74">
        <v>20</v>
      </c>
      <c r="N6" s="77">
        <v>0.01</v>
      </c>
      <c r="O6" s="4"/>
      <c r="P6" s="48"/>
      <c r="Q6" s="49" t="s">
        <v>141</v>
      </c>
      <c r="R6" s="70">
        <v>0.5</v>
      </c>
      <c r="S6" s="71">
        <v>3.25</v>
      </c>
      <c r="T6" s="97">
        <v>0.13862252663622526</v>
      </c>
      <c r="U6" s="73">
        <v>20</v>
      </c>
      <c r="V6" s="57">
        <v>0.01</v>
      </c>
      <c r="W6" s="74">
        <v>20</v>
      </c>
      <c r="X6" s="43">
        <v>0.01</v>
      </c>
      <c r="Y6" s="75">
        <v>0.25</v>
      </c>
      <c r="Z6" s="76">
        <v>10</v>
      </c>
      <c r="AA6" s="74">
        <v>20</v>
      </c>
      <c r="AB6" s="77">
        <v>0.01</v>
      </c>
      <c r="AD6" s="4"/>
      <c r="AE6" s="48"/>
      <c r="AF6" s="49" t="s">
        <v>141</v>
      </c>
      <c r="AG6" s="70">
        <v>0.5</v>
      </c>
      <c r="AH6" s="71">
        <v>3.25</v>
      </c>
      <c r="AI6" s="97">
        <v>0.13862252663622526</v>
      </c>
      <c r="AJ6" s="73">
        <v>20</v>
      </c>
      <c r="AK6" s="57">
        <v>0.01</v>
      </c>
      <c r="AL6" s="74">
        <v>20</v>
      </c>
      <c r="AM6" s="43">
        <v>0.01</v>
      </c>
      <c r="AN6" s="75">
        <v>0.25</v>
      </c>
      <c r="AO6" s="76">
        <v>10</v>
      </c>
      <c r="AP6" s="74">
        <v>20</v>
      </c>
      <c r="AQ6" s="77">
        <v>0.01</v>
      </c>
    </row>
    <row r="7" spans="1:43" ht="12.75">
      <c r="A7" s="4"/>
      <c r="B7" s="48"/>
      <c r="C7" s="49" t="s">
        <v>142</v>
      </c>
      <c r="D7" s="70">
        <v>0.5</v>
      </c>
      <c r="E7" s="71">
        <v>3.25</v>
      </c>
      <c r="F7" s="97">
        <v>0.1486111111111111</v>
      </c>
      <c r="G7" s="73">
        <v>20</v>
      </c>
      <c r="H7" s="57">
        <v>0.01</v>
      </c>
      <c r="I7" s="74">
        <v>20</v>
      </c>
      <c r="J7" s="43">
        <v>0.01</v>
      </c>
      <c r="K7" s="75">
        <v>0.25</v>
      </c>
      <c r="L7" s="76">
        <v>10</v>
      </c>
      <c r="M7" s="74">
        <v>20</v>
      </c>
      <c r="N7" s="77">
        <v>0.01</v>
      </c>
      <c r="O7" s="4"/>
      <c r="P7" s="48"/>
      <c r="Q7" s="49" t="s">
        <v>142</v>
      </c>
      <c r="R7" s="70">
        <v>0.5</v>
      </c>
      <c r="S7" s="71">
        <v>3.25</v>
      </c>
      <c r="T7" s="97">
        <v>0.1486111111111111</v>
      </c>
      <c r="U7" s="73">
        <v>20</v>
      </c>
      <c r="V7" s="57">
        <v>0.01</v>
      </c>
      <c r="W7" s="74">
        <v>20</v>
      </c>
      <c r="X7" s="43">
        <v>0.01</v>
      </c>
      <c r="Y7" s="75">
        <v>0.25</v>
      </c>
      <c r="Z7" s="76">
        <v>10</v>
      </c>
      <c r="AA7" s="74">
        <v>20</v>
      </c>
      <c r="AB7" s="77">
        <v>0.01</v>
      </c>
      <c r="AD7" s="4"/>
      <c r="AE7" s="48"/>
      <c r="AF7" s="49" t="s">
        <v>142</v>
      </c>
      <c r="AG7" s="70">
        <v>0.5</v>
      </c>
      <c r="AH7" s="71">
        <v>3.25</v>
      </c>
      <c r="AI7" s="97">
        <v>0.1486111111111111</v>
      </c>
      <c r="AJ7" s="73">
        <v>20</v>
      </c>
      <c r="AK7" s="57">
        <v>0.01</v>
      </c>
      <c r="AL7" s="74">
        <v>20</v>
      </c>
      <c r="AM7" s="43">
        <v>0.01</v>
      </c>
      <c r="AN7" s="75">
        <v>0.25</v>
      </c>
      <c r="AO7" s="76">
        <v>10</v>
      </c>
      <c r="AP7" s="74">
        <v>20</v>
      </c>
      <c r="AQ7" s="77">
        <v>0.01</v>
      </c>
    </row>
    <row r="8" spans="1:43" ht="13.5" thickBot="1">
      <c r="A8" s="4"/>
      <c r="B8" s="62"/>
      <c r="C8" s="49" t="s">
        <v>143</v>
      </c>
      <c r="D8" s="70">
        <v>0.5</v>
      </c>
      <c r="E8" s="71">
        <v>3.25</v>
      </c>
      <c r="F8" s="97">
        <v>0.14769786910197868</v>
      </c>
      <c r="G8" s="73">
        <v>20</v>
      </c>
      <c r="H8" s="57">
        <v>0.01</v>
      </c>
      <c r="I8" s="74">
        <v>20</v>
      </c>
      <c r="J8" s="43">
        <v>0.01</v>
      </c>
      <c r="K8" s="75">
        <v>0.25</v>
      </c>
      <c r="L8" s="76">
        <v>10</v>
      </c>
      <c r="M8" s="91">
        <v>20</v>
      </c>
      <c r="N8" s="77">
        <v>0.01</v>
      </c>
      <c r="O8" s="4"/>
      <c r="P8" s="62"/>
      <c r="Q8" s="49" t="s">
        <v>143</v>
      </c>
      <c r="R8" s="70">
        <v>0.5</v>
      </c>
      <c r="S8" s="71">
        <v>3.25</v>
      </c>
      <c r="T8" s="97">
        <v>0.14769786910197868</v>
      </c>
      <c r="U8" s="73">
        <v>20</v>
      </c>
      <c r="V8" s="57">
        <v>0.01</v>
      </c>
      <c r="W8" s="74">
        <v>20</v>
      </c>
      <c r="X8" s="43">
        <v>0.01</v>
      </c>
      <c r="Y8" s="75">
        <v>0.25</v>
      </c>
      <c r="Z8" s="76">
        <v>10</v>
      </c>
      <c r="AA8" s="91">
        <v>20</v>
      </c>
      <c r="AB8" s="77">
        <v>0.01</v>
      </c>
      <c r="AD8" s="4"/>
      <c r="AE8" s="62"/>
      <c r="AF8" s="49" t="s">
        <v>143</v>
      </c>
      <c r="AG8" s="70">
        <v>0.5</v>
      </c>
      <c r="AH8" s="71">
        <v>3.25</v>
      </c>
      <c r="AI8" s="97">
        <v>0.14769786910197868</v>
      </c>
      <c r="AJ8" s="73">
        <v>20</v>
      </c>
      <c r="AK8" s="57">
        <v>0.01</v>
      </c>
      <c r="AL8" s="74">
        <v>20</v>
      </c>
      <c r="AM8" s="43">
        <v>0.01</v>
      </c>
      <c r="AN8" s="75">
        <v>0.25</v>
      </c>
      <c r="AO8" s="76">
        <v>10</v>
      </c>
      <c r="AP8" s="91">
        <v>20</v>
      </c>
      <c r="AQ8" s="77">
        <v>0.01</v>
      </c>
    </row>
    <row r="9" spans="1:43" ht="12.75">
      <c r="A9" s="4"/>
      <c r="B9" s="105" t="s">
        <v>129</v>
      </c>
      <c r="C9" s="106" t="s">
        <v>140</v>
      </c>
      <c r="D9" s="78">
        <v>2</v>
      </c>
      <c r="E9" s="79">
        <v>3</v>
      </c>
      <c r="F9" s="109">
        <v>0.1408675799086758</v>
      </c>
      <c r="G9" s="81">
        <v>20</v>
      </c>
      <c r="H9" s="51">
        <v>0.0075</v>
      </c>
      <c r="I9" s="82">
        <v>25</v>
      </c>
      <c r="J9" s="83">
        <v>0.01</v>
      </c>
      <c r="K9" s="84">
        <v>0.25</v>
      </c>
      <c r="L9" s="85">
        <v>10</v>
      </c>
      <c r="M9" s="74">
        <v>20</v>
      </c>
      <c r="N9" s="86">
        <v>0.01</v>
      </c>
      <c r="O9" s="4"/>
      <c r="P9" s="105" t="s">
        <v>129</v>
      </c>
      <c r="Q9" s="106" t="s">
        <v>140</v>
      </c>
      <c r="R9" s="78">
        <v>2</v>
      </c>
      <c r="S9" s="79">
        <v>3</v>
      </c>
      <c r="T9" s="109">
        <v>0.1408675799086758</v>
      </c>
      <c r="U9" s="81">
        <v>20</v>
      </c>
      <c r="V9" s="51">
        <v>0.0075</v>
      </c>
      <c r="W9" s="82">
        <v>25</v>
      </c>
      <c r="X9" s="83">
        <v>0.01</v>
      </c>
      <c r="Y9" s="84">
        <v>0.25</v>
      </c>
      <c r="Z9" s="85">
        <v>10</v>
      </c>
      <c r="AA9" s="74">
        <v>20</v>
      </c>
      <c r="AB9" s="86">
        <v>0.01</v>
      </c>
      <c r="AD9" s="4"/>
      <c r="AE9" s="105" t="s">
        <v>129</v>
      </c>
      <c r="AF9" s="106" t="s">
        <v>140</v>
      </c>
      <c r="AG9" s="78">
        <v>2</v>
      </c>
      <c r="AH9" s="79">
        <v>3</v>
      </c>
      <c r="AI9" s="109">
        <v>0.1408675799086758</v>
      </c>
      <c r="AJ9" s="81">
        <v>20</v>
      </c>
      <c r="AK9" s="51">
        <v>0.0075</v>
      </c>
      <c r="AL9" s="82">
        <v>25</v>
      </c>
      <c r="AM9" s="83">
        <v>0.01</v>
      </c>
      <c r="AN9" s="84">
        <v>0.25</v>
      </c>
      <c r="AO9" s="85">
        <v>10</v>
      </c>
      <c r="AP9" s="74">
        <v>20</v>
      </c>
      <c r="AQ9" s="86">
        <v>0.01</v>
      </c>
    </row>
    <row r="10" spans="1:43" ht="12.75">
      <c r="A10" s="4"/>
      <c r="B10" s="48"/>
      <c r="C10" s="107" t="s">
        <v>141</v>
      </c>
      <c r="D10" s="70">
        <v>2</v>
      </c>
      <c r="E10" s="71">
        <v>3</v>
      </c>
      <c r="F10" s="97">
        <v>0.13858447488584474</v>
      </c>
      <c r="G10" s="73">
        <v>20</v>
      </c>
      <c r="H10" s="57">
        <v>0.0075</v>
      </c>
      <c r="I10" s="74">
        <v>25</v>
      </c>
      <c r="J10" s="43">
        <v>0.01</v>
      </c>
      <c r="K10" s="75">
        <v>0.25</v>
      </c>
      <c r="L10" s="76">
        <v>10</v>
      </c>
      <c r="M10" s="74">
        <v>20</v>
      </c>
      <c r="N10" s="77">
        <v>0.01</v>
      </c>
      <c r="O10" s="4"/>
      <c r="P10" s="48"/>
      <c r="Q10" s="107" t="s">
        <v>141</v>
      </c>
      <c r="R10" s="70">
        <v>2</v>
      </c>
      <c r="S10" s="71">
        <v>3</v>
      </c>
      <c r="T10" s="97">
        <v>0.13858447488584474</v>
      </c>
      <c r="U10" s="73">
        <v>20</v>
      </c>
      <c r="V10" s="57">
        <v>0.0075</v>
      </c>
      <c r="W10" s="74">
        <v>25</v>
      </c>
      <c r="X10" s="43">
        <v>0.01</v>
      </c>
      <c r="Y10" s="75">
        <v>0.25</v>
      </c>
      <c r="Z10" s="76">
        <v>10</v>
      </c>
      <c r="AA10" s="74">
        <v>20</v>
      </c>
      <c r="AB10" s="77">
        <v>0.01</v>
      </c>
      <c r="AD10" s="4"/>
      <c r="AE10" s="48"/>
      <c r="AF10" s="107" t="s">
        <v>141</v>
      </c>
      <c r="AG10" s="70">
        <v>2</v>
      </c>
      <c r="AH10" s="71">
        <v>3</v>
      </c>
      <c r="AI10" s="97">
        <v>0.13858447488584474</v>
      </c>
      <c r="AJ10" s="73">
        <v>20</v>
      </c>
      <c r="AK10" s="57">
        <v>0.0075</v>
      </c>
      <c r="AL10" s="74">
        <v>25</v>
      </c>
      <c r="AM10" s="43">
        <v>0.01</v>
      </c>
      <c r="AN10" s="75">
        <v>0.25</v>
      </c>
      <c r="AO10" s="76">
        <v>10</v>
      </c>
      <c r="AP10" s="74">
        <v>20</v>
      </c>
      <c r="AQ10" s="77">
        <v>0.01</v>
      </c>
    </row>
    <row r="11" spans="1:43" ht="12.75">
      <c r="A11" s="4"/>
      <c r="B11" s="48"/>
      <c r="C11" s="107" t="s">
        <v>142</v>
      </c>
      <c r="D11" s="70">
        <v>2</v>
      </c>
      <c r="E11" s="71">
        <v>3</v>
      </c>
      <c r="F11" s="97">
        <v>0.14878234398782345</v>
      </c>
      <c r="G11" s="73">
        <v>20</v>
      </c>
      <c r="H11" s="57">
        <v>0.0075</v>
      </c>
      <c r="I11" s="74">
        <v>25</v>
      </c>
      <c r="J11" s="43">
        <v>0.01</v>
      </c>
      <c r="K11" s="75">
        <v>0.25</v>
      </c>
      <c r="L11" s="76">
        <v>10</v>
      </c>
      <c r="M11" s="74">
        <v>20</v>
      </c>
      <c r="N11" s="77">
        <v>0.01</v>
      </c>
      <c r="O11" s="4"/>
      <c r="P11" s="48"/>
      <c r="Q11" s="107" t="s">
        <v>142</v>
      </c>
      <c r="R11" s="70">
        <v>2</v>
      </c>
      <c r="S11" s="71">
        <v>3</v>
      </c>
      <c r="T11" s="97">
        <v>0.14878234398782345</v>
      </c>
      <c r="U11" s="73">
        <v>20</v>
      </c>
      <c r="V11" s="57">
        <v>0.0075</v>
      </c>
      <c r="W11" s="74">
        <v>25</v>
      </c>
      <c r="X11" s="43">
        <v>0.01</v>
      </c>
      <c r="Y11" s="75">
        <v>0.25</v>
      </c>
      <c r="Z11" s="76">
        <v>10</v>
      </c>
      <c r="AA11" s="74">
        <v>20</v>
      </c>
      <c r="AB11" s="77">
        <v>0.01</v>
      </c>
      <c r="AD11" s="4"/>
      <c r="AE11" s="48"/>
      <c r="AF11" s="107" t="s">
        <v>142</v>
      </c>
      <c r="AG11" s="70">
        <v>2</v>
      </c>
      <c r="AH11" s="71">
        <v>3</v>
      </c>
      <c r="AI11" s="97">
        <v>0.14878234398782345</v>
      </c>
      <c r="AJ11" s="73">
        <v>20</v>
      </c>
      <c r="AK11" s="57">
        <v>0.0075</v>
      </c>
      <c r="AL11" s="74">
        <v>25</v>
      </c>
      <c r="AM11" s="43">
        <v>0.01</v>
      </c>
      <c r="AN11" s="75">
        <v>0.25</v>
      </c>
      <c r="AO11" s="76">
        <v>10</v>
      </c>
      <c r="AP11" s="74">
        <v>20</v>
      </c>
      <c r="AQ11" s="77">
        <v>0.01</v>
      </c>
    </row>
    <row r="12" spans="1:43" ht="13.5" thickBot="1">
      <c r="A12" s="4"/>
      <c r="B12" s="62"/>
      <c r="C12" s="108" t="s">
        <v>143</v>
      </c>
      <c r="D12" s="87">
        <v>2</v>
      </c>
      <c r="E12" s="88">
        <v>3</v>
      </c>
      <c r="F12" s="110">
        <v>0.14748858447488583</v>
      </c>
      <c r="G12" s="90">
        <v>20</v>
      </c>
      <c r="H12" s="64">
        <v>0.0075</v>
      </c>
      <c r="I12" s="91">
        <v>25</v>
      </c>
      <c r="J12" s="92">
        <v>0.01</v>
      </c>
      <c r="K12" s="93">
        <v>0.25</v>
      </c>
      <c r="L12" s="94">
        <v>10</v>
      </c>
      <c r="M12" s="91">
        <v>20</v>
      </c>
      <c r="N12" s="95">
        <v>0.01</v>
      </c>
      <c r="O12" s="4"/>
      <c r="P12" s="62"/>
      <c r="Q12" s="108" t="s">
        <v>143</v>
      </c>
      <c r="R12" s="87">
        <v>2</v>
      </c>
      <c r="S12" s="88">
        <v>3</v>
      </c>
      <c r="T12" s="110">
        <v>0.14748858447488583</v>
      </c>
      <c r="U12" s="90">
        <v>20</v>
      </c>
      <c r="V12" s="64">
        <v>0.0075</v>
      </c>
      <c r="W12" s="91">
        <v>25</v>
      </c>
      <c r="X12" s="92">
        <v>0.01</v>
      </c>
      <c r="Y12" s="93">
        <v>0.25</v>
      </c>
      <c r="Z12" s="94">
        <v>10</v>
      </c>
      <c r="AA12" s="91">
        <v>20</v>
      </c>
      <c r="AB12" s="95">
        <v>0.01</v>
      </c>
      <c r="AD12" s="4"/>
      <c r="AE12" s="62"/>
      <c r="AF12" s="108" t="s">
        <v>143</v>
      </c>
      <c r="AG12" s="87">
        <v>2</v>
      </c>
      <c r="AH12" s="88">
        <v>3</v>
      </c>
      <c r="AI12" s="110">
        <v>0.14748858447488583</v>
      </c>
      <c r="AJ12" s="90">
        <v>20</v>
      </c>
      <c r="AK12" s="64">
        <v>0.0075</v>
      </c>
      <c r="AL12" s="91">
        <v>25</v>
      </c>
      <c r="AM12" s="92">
        <v>0.01</v>
      </c>
      <c r="AN12" s="93">
        <v>0.25</v>
      </c>
      <c r="AO12" s="94">
        <v>10</v>
      </c>
      <c r="AP12" s="91">
        <v>20</v>
      </c>
      <c r="AQ12" s="95">
        <v>0.01</v>
      </c>
    </row>
    <row r="13" spans="1:43" ht="12.75">
      <c r="A13" s="4"/>
      <c r="B13" s="105" t="s">
        <v>145</v>
      </c>
      <c r="C13" s="106" t="s">
        <v>140</v>
      </c>
      <c r="D13" s="78">
        <v>2</v>
      </c>
      <c r="E13" s="79">
        <v>3</v>
      </c>
      <c r="F13" s="80">
        <v>0.21346103871997624</v>
      </c>
      <c r="G13" s="81">
        <v>20</v>
      </c>
      <c r="H13" s="51">
        <v>0.01</v>
      </c>
      <c r="I13" s="82">
        <v>20</v>
      </c>
      <c r="J13" s="83">
        <v>0.01</v>
      </c>
      <c r="K13" s="84">
        <v>0.25</v>
      </c>
      <c r="L13" s="85">
        <v>10</v>
      </c>
      <c r="M13" s="74">
        <v>20</v>
      </c>
      <c r="N13" s="86">
        <v>0.01</v>
      </c>
      <c r="O13" s="4"/>
      <c r="P13" s="105" t="s">
        <v>145</v>
      </c>
      <c r="Q13" s="106" t="s">
        <v>140</v>
      </c>
      <c r="R13" s="78">
        <v>2</v>
      </c>
      <c r="S13" s="79">
        <v>3</v>
      </c>
      <c r="T13" s="80">
        <v>0.21346103871997624</v>
      </c>
      <c r="U13" s="81">
        <v>20</v>
      </c>
      <c r="V13" s="51">
        <v>0.01</v>
      </c>
      <c r="W13" s="82">
        <v>20</v>
      </c>
      <c r="X13" s="83">
        <v>0.01</v>
      </c>
      <c r="Y13" s="84">
        <v>0.25</v>
      </c>
      <c r="Z13" s="85">
        <v>10</v>
      </c>
      <c r="AA13" s="74">
        <v>20</v>
      </c>
      <c r="AB13" s="86">
        <v>0.01</v>
      </c>
      <c r="AD13" s="4"/>
      <c r="AE13" s="105" t="s">
        <v>145</v>
      </c>
      <c r="AF13" s="106" t="s">
        <v>140</v>
      </c>
      <c r="AG13" s="78">
        <v>2</v>
      </c>
      <c r="AH13" s="79">
        <v>3</v>
      </c>
      <c r="AI13" s="80">
        <v>0.21346103871997624</v>
      </c>
      <c r="AJ13" s="81">
        <v>20</v>
      </c>
      <c r="AK13" s="51">
        <v>0.01</v>
      </c>
      <c r="AL13" s="82">
        <v>20</v>
      </c>
      <c r="AM13" s="83">
        <v>0.01</v>
      </c>
      <c r="AN13" s="84">
        <v>0.25</v>
      </c>
      <c r="AO13" s="85">
        <v>10</v>
      </c>
      <c r="AP13" s="74">
        <v>20</v>
      </c>
      <c r="AQ13" s="86">
        <v>0.01</v>
      </c>
    </row>
    <row r="14" spans="1:43" ht="12.75">
      <c r="A14" s="4"/>
      <c r="B14" s="48"/>
      <c r="C14" s="107" t="s">
        <v>141</v>
      </c>
      <c r="D14" s="70">
        <v>2</v>
      </c>
      <c r="E14" s="71">
        <v>3</v>
      </c>
      <c r="F14" s="72">
        <v>0.19471359097152616</v>
      </c>
      <c r="G14" s="73">
        <v>20</v>
      </c>
      <c r="H14" s="57">
        <v>0.01</v>
      </c>
      <c r="I14" s="74">
        <v>20</v>
      </c>
      <c r="J14" s="43">
        <v>0.01</v>
      </c>
      <c r="K14" s="75">
        <v>0.25</v>
      </c>
      <c r="L14" s="76">
        <v>10</v>
      </c>
      <c r="M14" s="74">
        <v>20</v>
      </c>
      <c r="N14" s="77">
        <v>0.01</v>
      </c>
      <c r="O14" s="4"/>
      <c r="P14" s="48"/>
      <c r="Q14" s="107" t="s">
        <v>141</v>
      </c>
      <c r="R14" s="70">
        <v>2</v>
      </c>
      <c r="S14" s="71">
        <v>3</v>
      </c>
      <c r="T14" s="72">
        <v>0.19471359097152616</v>
      </c>
      <c r="U14" s="73">
        <v>20</v>
      </c>
      <c r="V14" s="57">
        <v>0.01</v>
      </c>
      <c r="W14" s="74">
        <v>20</v>
      </c>
      <c r="X14" s="43">
        <v>0.01</v>
      </c>
      <c r="Y14" s="75">
        <v>0.25</v>
      </c>
      <c r="Z14" s="76">
        <v>10</v>
      </c>
      <c r="AA14" s="74">
        <v>20</v>
      </c>
      <c r="AB14" s="77">
        <v>0.01</v>
      </c>
      <c r="AD14" s="4"/>
      <c r="AE14" s="48"/>
      <c r="AF14" s="107" t="s">
        <v>141</v>
      </c>
      <c r="AG14" s="70">
        <v>2</v>
      </c>
      <c r="AH14" s="71">
        <v>3</v>
      </c>
      <c r="AI14" s="72">
        <v>0.19471359097152616</v>
      </c>
      <c r="AJ14" s="73">
        <v>20</v>
      </c>
      <c r="AK14" s="57">
        <v>0.01</v>
      </c>
      <c r="AL14" s="74">
        <v>20</v>
      </c>
      <c r="AM14" s="43">
        <v>0.01</v>
      </c>
      <c r="AN14" s="75">
        <v>0.25</v>
      </c>
      <c r="AO14" s="76">
        <v>10</v>
      </c>
      <c r="AP14" s="74">
        <v>20</v>
      </c>
      <c r="AQ14" s="77">
        <v>0.01</v>
      </c>
    </row>
    <row r="15" spans="1:43" ht="12.75">
      <c r="A15" s="4"/>
      <c r="B15" s="48"/>
      <c r="C15" s="107" t="s">
        <v>142</v>
      </c>
      <c r="D15" s="70">
        <v>2</v>
      </c>
      <c r="E15" s="71">
        <v>3</v>
      </c>
      <c r="F15" s="72">
        <v>0.18849537810446598</v>
      </c>
      <c r="G15" s="73">
        <v>20</v>
      </c>
      <c r="H15" s="57">
        <v>0.01</v>
      </c>
      <c r="I15" s="74">
        <v>20</v>
      </c>
      <c r="J15" s="43">
        <v>0.01</v>
      </c>
      <c r="K15" s="75">
        <v>0.25</v>
      </c>
      <c r="L15" s="76">
        <v>10</v>
      </c>
      <c r="M15" s="74">
        <v>20</v>
      </c>
      <c r="N15" s="77">
        <v>0.01</v>
      </c>
      <c r="O15" s="4"/>
      <c r="P15" s="48"/>
      <c r="Q15" s="107" t="s">
        <v>142</v>
      </c>
      <c r="R15" s="70">
        <v>2</v>
      </c>
      <c r="S15" s="71">
        <v>3</v>
      </c>
      <c r="T15" s="72">
        <v>0.18849537810446598</v>
      </c>
      <c r="U15" s="73">
        <v>20</v>
      </c>
      <c r="V15" s="57">
        <v>0.01</v>
      </c>
      <c r="W15" s="74">
        <v>20</v>
      </c>
      <c r="X15" s="43">
        <v>0.01</v>
      </c>
      <c r="Y15" s="75">
        <v>0.25</v>
      </c>
      <c r="Z15" s="76">
        <v>10</v>
      </c>
      <c r="AA15" s="74">
        <v>20</v>
      </c>
      <c r="AB15" s="77">
        <v>0.01</v>
      </c>
      <c r="AD15" s="4"/>
      <c r="AE15" s="48"/>
      <c r="AF15" s="107" t="s">
        <v>142</v>
      </c>
      <c r="AG15" s="70">
        <v>2</v>
      </c>
      <c r="AH15" s="71">
        <v>3</v>
      </c>
      <c r="AI15" s="72">
        <v>0.18849537810446598</v>
      </c>
      <c r="AJ15" s="73">
        <v>20</v>
      </c>
      <c r="AK15" s="57">
        <v>0.01</v>
      </c>
      <c r="AL15" s="74">
        <v>20</v>
      </c>
      <c r="AM15" s="43">
        <v>0.01</v>
      </c>
      <c r="AN15" s="75">
        <v>0.25</v>
      </c>
      <c r="AO15" s="76">
        <v>10</v>
      </c>
      <c r="AP15" s="74">
        <v>20</v>
      </c>
      <c r="AQ15" s="77">
        <v>0.01</v>
      </c>
    </row>
    <row r="16" spans="1:43" ht="13.5" thickBot="1">
      <c r="A16" s="4"/>
      <c r="B16" s="62"/>
      <c r="C16" s="108" t="s">
        <v>143</v>
      </c>
      <c r="D16" s="70">
        <v>2</v>
      </c>
      <c r="E16" s="71">
        <v>3</v>
      </c>
      <c r="F16" s="72">
        <v>0.17494524260311095</v>
      </c>
      <c r="G16" s="73">
        <v>20</v>
      </c>
      <c r="H16" s="57">
        <v>0.01</v>
      </c>
      <c r="I16" s="74">
        <v>20</v>
      </c>
      <c r="J16" s="43">
        <v>0.01</v>
      </c>
      <c r="K16" s="93">
        <v>0.25</v>
      </c>
      <c r="L16" s="76">
        <v>10</v>
      </c>
      <c r="M16" s="91">
        <v>20</v>
      </c>
      <c r="N16" s="77">
        <v>0.01</v>
      </c>
      <c r="O16" s="4"/>
      <c r="P16" s="62"/>
      <c r="Q16" s="108" t="s">
        <v>143</v>
      </c>
      <c r="R16" s="70">
        <v>2</v>
      </c>
      <c r="S16" s="71">
        <v>3</v>
      </c>
      <c r="T16" s="72">
        <v>0.17494524260311095</v>
      </c>
      <c r="U16" s="73">
        <v>20</v>
      </c>
      <c r="V16" s="57">
        <v>0.01</v>
      </c>
      <c r="W16" s="74">
        <v>20</v>
      </c>
      <c r="X16" s="43">
        <v>0.01</v>
      </c>
      <c r="Y16" s="93">
        <v>0.25</v>
      </c>
      <c r="Z16" s="76">
        <v>10</v>
      </c>
      <c r="AA16" s="91">
        <v>20</v>
      </c>
      <c r="AB16" s="77">
        <v>0.01</v>
      </c>
      <c r="AD16" s="4"/>
      <c r="AE16" s="62"/>
      <c r="AF16" s="108" t="s">
        <v>143</v>
      </c>
      <c r="AG16" s="70">
        <v>2</v>
      </c>
      <c r="AH16" s="71">
        <v>3</v>
      </c>
      <c r="AI16" s="72">
        <v>0.17494524260311095</v>
      </c>
      <c r="AJ16" s="73">
        <v>20</v>
      </c>
      <c r="AK16" s="57">
        <v>0.01</v>
      </c>
      <c r="AL16" s="74">
        <v>20</v>
      </c>
      <c r="AM16" s="43">
        <v>0.01</v>
      </c>
      <c r="AN16" s="93">
        <v>0.25</v>
      </c>
      <c r="AO16" s="76">
        <v>10</v>
      </c>
      <c r="AP16" s="91">
        <v>20</v>
      </c>
      <c r="AQ16" s="77">
        <v>0.01</v>
      </c>
    </row>
    <row r="17" spans="1:43" ht="12.75">
      <c r="A17" s="4"/>
      <c r="B17" s="105" t="s">
        <v>146</v>
      </c>
      <c r="C17" s="260" t="s">
        <v>140</v>
      </c>
      <c r="D17" s="78">
        <v>2</v>
      </c>
      <c r="E17" s="79">
        <v>3</v>
      </c>
      <c r="F17" s="80">
        <f>F13*1.25</f>
        <v>0.2668262983999703</v>
      </c>
      <c r="G17" s="81">
        <v>20</v>
      </c>
      <c r="H17" s="51">
        <v>0.01</v>
      </c>
      <c r="I17" s="82">
        <v>20</v>
      </c>
      <c r="J17" s="83">
        <v>0.01</v>
      </c>
      <c r="K17" s="84">
        <v>0.25</v>
      </c>
      <c r="L17" s="85">
        <v>10</v>
      </c>
      <c r="M17" s="82">
        <v>20</v>
      </c>
      <c r="N17" s="86">
        <v>0.01</v>
      </c>
      <c r="O17" s="4"/>
      <c r="P17" s="105" t="s">
        <v>146</v>
      </c>
      <c r="Q17" s="260" t="s">
        <v>140</v>
      </c>
      <c r="R17" s="78">
        <v>2</v>
      </c>
      <c r="S17" s="79">
        <v>3</v>
      </c>
      <c r="T17" s="80">
        <f>T13*1.25</f>
        <v>0.2668262983999703</v>
      </c>
      <c r="U17" s="81">
        <v>20</v>
      </c>
      <c r="V17" s="51">
        <v>0.01</v>
      </c>
      <c r="W17" s="82">
        <v>20</v>
      </c>
      <c r="X17" s="83">
        <v>0.01</v>
      </c>
      <c r="Y17" s="84">
        <v>0.25</v>
      </c>
      <c r="Z17" s="85">
        <v>10</v>
      </c>
      <c r="AA17" s="82">
        <v>20</v>
      </c>
      <c r="AB17" s="86">
        <v>0.01</v>
      </c>
      <c r="AD17" s="4"/>
      <c r="AE17" s="105" t="s">
        <v>146</v>
      </c>
      <c r="AF17" s="260" t="s">
        <v>140</v>
      </c>
      <c r="AG17" s="78">
        <v>2</v>
      </c>
      <c r="AH17" s="79">
        <v>3</v>
      </c>
      <c r="AI17" s="80">
        <f>AI13*1.25</f>
        <v>0.2668262983999703</v>
      </c>
      <c r="AJ17" s="81">
        <v>20</v>
      </c>
      <c r="AK17" s="51">
        <v>0.01</v>
      </c>
      <c r="AL17" s="82">
        <v>20</v>
      </c>
      <c r="AM17" s="83">
        <v>0.01</v>
      </c>
      <c r="AN17" s="84">
        <v>0.25</v>
      </c>
      <c r="AO17" s="85">
        <v>10</v>
      </c>
      <c r="AP17" s="82">
        <v>20</v>
      </c>
      <c r="AQ17" s="86">
        <v>0.01</v>
      </c>
    </row>
    <row r="18" spans="1:43" ht="12.75">
      <c r="A18" s="4"/>
      <c r="B18" s="48"/>
      <c r="C18" s="49" t="s">
        <v>141</v>
      </c>
      <c r="D18" s="70">
        <v>2</v>
      </c>
      <c r="E18" s="71">
        <v>3</v>
      </c>
      <c r="F18" s="72">
        <f>F10*1.25</f>
        <v>0.17323059360730592</v>
      </c>
      <c r="G18" s="73">
        <v>20</v>
      </c>
      <c r="H18" s="57">
        <v>0.01</v>
      </c>
      <c r="I18" s="74">
        <v>20</v>
      </c>
      <c r="J18" s="43">
        <v>0.01</v>
      </c>
      <c r="K18" s="75">
        <v>0.25</v>
      </c>
      <c r="L18" s="76">
        <v>10</v>
      </c>
      <c r="M18" s="74">
        <v>20</v>
      </c>
      <c r="N18" s="77">
        <v>0.01</v>
      </c>
      <c r="O18" s="4"/>
      <c r="P18" s="48"/>
      <c r="Q18" s="49" t="s">
        <v>141</v>
      </c>
      <c r="R18" s="70">
        <v>2</v>
      </c>
      <c r="S18" s="71">
        <v>3</v>
      </c>
      <c r="T18" s="72">
        <f>T10*1.25</f>
        <v>0.17323059360730592</v>
      </c>
      <c r="U18" s="73">
        <v>20</v>
      </c>
      <c r="V18" s="57">
        <v>0.01</v>
      </c>
      <c r="W18" s="74">
        <v>20</v>
      </c>
      <c r="X18" s="43">
        <v>0.01</v>
      </c>
      <c r="Y18" s="75">
        <v>0.25</v>
      </c>
      <c r="Z18" s="76">
        <v>10</v>
      </c>
      <c r="AA18" s="74">
        <v>20</v>
      </c>
      <c r="AB18" s="77">
        <v>0.01</v>
      </c>
      <c r="AD18" s="4"/>
      <c r="AE18" s="48"/>
      <c r="AF18" s="49" t="s">
        <v>141</v>
      </c>
      <c r="AG18" s="70">
        <v>2</v>
      </c>
      <c r="AH18" s="71">
        <v>3</v>
      </c>
      <c r="AI18" s="72">
        <f>AI10*1.25</f>
        <v>0.17323059360730592</v>
      </c>
      <c r="AJ18" s="73">
        <v>20</v>
      </c>
      <c r="AK18" s="57">
        <v>0.01</v>
      </c>
      <c r="AL18" s="74">
        <v>20</v>
      </c>
      <c r="AM18" s="43">
        <v>0.01</v>
      </c>
      <c r="AN18" s="75">
        <v>0.25</v>
      </c>
      <c r="AO18" s="76">
        <v>10</v>
      </c>
      <c r="AP18" s="74">
        <v>20</v>
      </c>
      <c r="AQ18" s="77">
        <v>0.01</v>
      </c>
    </row>
    <row r="19" spans="1:43" ht="12.75">
      <c r="A19" s="4"/>
      <c r="B19" s="48"/>
      <c r="C19" s="49" t="s">
        <v>142</v>
      </c>
      <c r="D19" s="70">
        <v>2</v>
      </c>
      <c r="E19" s="71">
        <v>3</v>
      </c>
      <c r="F19" s="72">
        <f>F11*1.25</f>
        <v>0.1859779299847793</v>
      </c>
      <c r="G19" s="73">
        <v>20</v>
      </c>
      <c r="H19" s="57">
        <v>0.01</v>
      </c>
      <c r="I19" s="74">
        <v>20</v>
      </c>
      <c r="J19" s="43">
        <v>0.01</v>
      </c>
      <c r="K19" s="75">
        <v>0.25</v>
      </c>
      <c r="L19" s="76">
        <v>10</v>
      </c>
      <c r="M19" s="74">
        <v>20</v>
      </c>
      <c r="N19" s="77">
        <v>0.01</v>
      </c>
      <c r="O19" s="4"/>
      <c r="P19" s="48"/>
      <c r="Q19" s="49" t="s">
        <v>142</v>
      </c>
      <c r="R19" s="70">
        <v>2</v>
      </c>
      <c r="S19" s="71">
        <v>3</v>
      </c>
      <c r="T19" s="72">
        <f>T11*1.25</f>
        <v>0.1859779299847793</v>
      </c>
      <c r="U19" s="73">
        <v>20</v>
      </c>
      <c r="V19" s="57">
        <v>0.01</v>
      </c>
      <c r="W19" s="74">
        <v>20</v>
      </c>
      <c r="X19" s="43">
        <v>0.01</v>
      </c>
      <c r="Y19" s="75">
        <v>0.25</v>
      </c>
      <c r="Z19" s="76">
        <v>10</v>
      </c>
      <c r="AA19" s="74">
        <v>20</v>
      </c>
      <c r="AB19" s="77">
        <v>0.01</v>
      </c>
      <c r="AD19" s="4"/>
      <c r="AE19" s="48"/>
      <c r="AF19" s="49" t="s">
        <v>142</v>
      </c>
      <c r="AG19" s="70">
        <v>2</v>
      </c>
      <c r="AH19" s="71">
        <v>3</v>
      </c>
      <c r="AI19" s="72">
        <f>AI11*1.25</f>
        <v>0.1859779299847793</v>
      </c>
      <c r="AJ19" s="73">
        <v>20</v>
      </c>
      <c r="AK19" s="57">
        <v>0.01</v>
      </c>
      <c r="AL19" s="74">
        <v>20</v>
      </c>
      <c r="AM19" s="43">
        <v>0.01</v>
      </c>
      <c r="AN19" s="75">
        <v>0.25</v>
      </c>
      <c r="AO19" s="76">
        <v>10</v>
      </c>
      <c r="AP19" s="74">
        <v>20</v>
      </c>
      <c r="AQ19" s="77">
        <v>0.01</v>
      </c>
    </row>
    <row r="20" spans="1:43" ht="13.5" thickBot="1">
      <c r="A20" s="4"/>
      <c r="B20" s="62"/>
      <c r="C20" s="261" t="s">
        <v>143</v>
      </c>
      <c r="D20" s="87">
        <v>2</v>
      </c>
      <c r="E20" s="88">
        <v>3</v>
      </c>
      <c r="F20" s="89">
        <f>F12*1.25</f>
        <v>0.1843607305936073</v>
      </c>
      <c r="G20" s="90">
        <v>20</v>
      </c>
      <c r="H20" s="64">
        <v>0.01</v>
      </c>
      <c r="I20" s="91">
        <v>20</v>
      </c>
      <c r="J20" s="92">
        <v>0.01</v>
      </c>
      <c r="K20" s="93">
        <v>0.25</v>
      </c>
      <c r="L20" s="94">
        <v>10</v>
      </c>
      <c r="M20" s="91">
        <v>20</v>
      </c>
      <c r="N20" s="95">
        <v>0.01</v>
      </c>
      <c r="O20" s="4"/>
      <c r="P20" s="62"/>
      <c r="Q20" s="261" t="s">
        <v>143</v>
      </c>
      <c r="R20" s="87">
        <v>2</v>
      </c>
      <c r="S20" s="88">
        <v>3</v>
      </c>
      <c r="T20" s="89">
        <f>T12*1.25</f>
        <v>0.1843607305936073</v>
      </c>
      <c r="U20" s="90">
        <v>20</v>
      </c>
      <c r="V20" s="64">
        <v>0.01</v>
      </c>
      <c r="W20" s="91">
        <v>20</v>
      </c>
      <c r="X20" s="92">
        <v>0.01</v>
      </c>
      <c r="Y20" s="93">
        <v>0.25</v>
      </c>
      <c r="Z20" s="94">
        <v>10</v>
      </c>
      <c r="AA20" s="91">
        <v>20</v>
      </c>
      <c r="AB20" s="95">
        <v>0.01</v>
      </c>
      <c r="AD20" s="4"/>
      <c r="AE20" s="62"/>
      <c r="AF20" s="261" t="s">
        <v>143</v>
      </c>
      <c r="AG20" s="87">
        <v>2</v>
      </c>
      <c r="AH20" s="88">
        <v>3</v>
      </c>
      <c r="AI20" s="89">
        <f>AI12*1.25</f>
        <v>0.1843607305936073</v>
      </c>
      <c r="AJ20" s="90">
        <v>20</v>
      </c>
      <c r="AK20" s="64">
        <v>0.01</v>
      </c>
      <c r="AL20" s="91">
        <v>20</v>
      </c>
      <c r="AM20" s="92">
        <v>0.01</v>
      </c>
      <c r="AN20" s="93">
        <v>0.25</v>
      </c>
      <c r="AO20" s="94">
        <v>10</v>
      </c>
      <c r="AP20" s="91">
        <v>20</v>
      </c>
      <c r="AQ20" s="95">
        <v>0.01</v>
      </c>
    </row>
    <row r="21" spans="1:4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21" thickBot="1">
      <c r="A22" s="4"/>
      <c r="B22" s="69" t="s">
        <v>11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43" t="s">
        <v>11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D22" s="4"/>
      <c r="AE22" s="69" t="s">
        <v>11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51.75" thickBot="1">
      <c r="A23" s="4"/>
      <c r="B23" s="39" t="s">
        <v>118</v>
      </c>
      <c r="C23" s="40" t="s">
        <v>119</v>
      </c>
      <c r="D23" s="44" t="s">
        <v>59</v>
      </c>
      <c r="E23" s="41" t="s">
        <v>127</v>
      </c>
      <c r="F23" s="41" t="s">
        <v>34</v>
      </c>
      <c r="G23" s="41" t="s">
        <v>25</v>
      </c>
      <c r="H23" s="41" t="s">
        <v>91</v>
      </c>
      <c r="I23" s="41" t="s">
        <v>35</v>
      </c>
      <c r="J23" s="41" t="s">
        <v>13</v>
      </c>
      <c r="K23" s="41" t="s">
        <v>14</v>
      </c>
      <c r="L23" s="41" t="s">
        <v>2</v>
      </c>
      <c r="M23" s="41" t="s">
        <v>87</v>
      </c>
      <c r="N23" s="42" t="s">
        <v>128</v>
      </c>
      <c r="O23" s="4"/>
      <c r="P23" s="39" t="s">
        <v>118</v>
      </c>
      <c r="Q23" s="40" t="s">
        <v>119</v>
      </c>
      <c r="R23" s="265" t="s">
        <v>59</v>
      </c>
      <c r="S23" s="252" t="s">
        <v>127</v>
      </c>
      <c r="T23" s="252" t="s">
        <v>34</v>
      </c>
      <c r="U23" s="252" t="s">
        <v>25</v>
      </c>
      <c r="V23" s="252" t="s">
        <v>91</v>
      </c>
      <c r="W23" s="252" t="s">
        <v>35</v>
      </c>
      <c r="X23" s="252" t="s">
        <v>13</v>
      </c>
      <c r="Y23" s="252" t="s">
        <v>14</v>
      </c>
      <c r="Z23" s="252" t="s">
        <v>2</v>
      </c>
      <c r="AA23" s="252" t="s">
        <v>87</v>
      </c>
      <c r="AB23" s="253" t="s">
        <v>128</v>
      </c>
      <c r="AD23" s="4"/>
      <c r="AE23" s="39" t="s">
        <v>118</v>
      </c>
      <c r="AF23" s="40" t="s">
        <v>119</v>
      </c>
      <c r="AG23" s="44" t="s">
        <v>59</v>
      </c>
      <c r="AH23" s="41" t="s">
        <v>127</v>
      </c>
      <c r="AI23" s="41" t="s">
        <v>34</v>
      </c>
      <c r="AJ23" s="41" t="s">
        <v>25</v>
      </c>
      <c r="AK23" s="41" t="s">
        <v>91</v>
      </c>
      <c r="AL23" s="41" t="s">
        <v>35</v>
      </c>
      <c r="AM23" s="41" t="s">
        <v>13</v>
      </c>
      <c r="AN23" s="41" t="s">
        <v>14</v>
      </c>
      <c r="AO23" s="41" t="s">
        <v>2</v>
      </c>
      <c r="AP23" s="41" t="s">
        <v>87</v>
      </c>
      <c r="AQ23" s="42" t="s">
        <v>128</v>
      </c>
    </row>
    <row r="24" spans="1:43" ht="12">
      <c r="A24" s="4"/>
      <c r="B24" s="105" t="s">
        <v>144</v>
      </c>
      <c r="C24" s="260" t="s">
        <v>140</v>
      </c>
      <c r="D24" s="50">
        <v>1</v>
      </c>
      <c r="E24" s="51">
        <v>0</v>
      </c>
      <c r="F24" s="51">
        <v>0</v>
      </c>
      <c r="G24" s="264">
        <f>(E24-F24*(1-D24)*(1-(J24+(1-J24)*K24)))/D24</f>
        <v>0</v>
      </c>
      <c r="H24" s="52">
        <v>0</v>
      </c>
      <c r="I24" s="53">
        <v>0</v>
      </c>
      <c r="J24" s="54">
        <v>0</v>
      </c>
      <c r="K24" s="51">
        <v>0</v>
      </c>
      <c r="L24" s="54">
        <v>0</v>
      </c>
      <c r="M24" s="53">
        <v>0</v>
      </c>
      <c r="N24" s="55">
        <v>0</v>
      </c>
      <c r="O24" s="4"/>
      <c r="P24" s="105" t="s">
        <v>144</v>
      </c>
      <c r="Q24" s="260" t="s">
        <v>140</v>
      </c>
      <c r="R24" s="301">
        <v>0.1</v>
      </c>
      <c r="S24" s="109">
        <v>0.0825</v>
      </c>
      <c r="T24" s="109">
        <v>0.03</v>
      </c>
      <c r="U24" s="45">
        <f>(S24-T24*(1-R24)*(1-(X24+(1-X24)*Y24)))/R24</f>
        <v>0.6650142</v>
      </c>
      <c r="V24" s="302">
        <v>1.4</v>
      </c>
      <c r="W24" s="303">
        <v>20</v>
      </c>
      <c r="X24" s="242">
        <v>0.35</v>
      </c>
      <c r="Y24" s="109">
        <v>0.0884</v>
      </c>
      <c r="Z24" s="242">
        <v>0.3</v>
      </c>
      <c r="AA24" s="303">
        <v>5</v>
      </c>
      <c r="AB24" s="304">
        <v>0</v>
      </c>
      <c r="AD24" s="4"/>
      <c r="AE24" s="105" t="s">
        <v>144</v>
      </c>
      <c r="AF24" s="106" t="s">
        <v>140</v>
      </c>
      <c r="AG24" s="50">
        <v>0.6</v>
      </c>
      <c r="AH24" s="51">
        <v>0.075</v>
      </c>
      <c r="AI24" s="51">
        <v>0.075</v>
      </c>
      <c r="AJ24" s="45">
        <f>(AH24-AI24*(1-AG24)*(1-(AM24+(1-AM24)*AN24)))/AG24</f>
        <v>0.09420625</v>
      </c>
      <c r="AK24" s="52">
        <v>1.4</v>
      </c>
      <c r="AL24" s="53">
        <v>20</v>
      </c>
      <c r="AM24" s="54">
        <v>0.35</v>
      </c>
      <c r="AN24" s="51">
        <v>0.0525</v>
      </c>
      <c r="AO24" s="54">
        <v>0.3</v>
      </c>
      <c r="AP24" s="53">
        <v>5</v>
      </c>
      <c r="AQ24" s="55">
        <v>0.01</v>
      </c>
    </row>
    <row r="25" spans="1:43" ht="12">
      <c r="A25" s="4"/>
      <c r="B25" s="48"/>
      <c r="C25" s="49" t="s">
        <v>141</v>
      </c>
      <c r="D25" s="56">
        <v>1</v>
      </c>
      <c r="E25" s="57">
        <v>0</v>
      </c>
      <c r="F25" s="57">
        <v>0</v>
      </c>
      <c r="G25" s="262">
        <f aca="true" t="shared" si="0" ref="G25:G39">(E25-F25*(1-D25)*(1-(J25+(1-J25)*K25)))/D25</f>
        <v>0</v>
      </c>
      <c r="H25" s="58">
        <v>0</v>
      </c>
      <c r="I25" s="59">
        <v>0</v>
      </c>
      <c r="J25" s="60">
        <v>0</v>
      </c>
      <c r="K25" s="57">
        <v>0</v>
      </c>
      <c r="L25" s="60">
        <v>0</v>
      </c>
      <c r="M25" s="59">
        <v>0</v>
      </c>
      <c r="N25" s="61">
        <v>0</v>
      </c>
      <c r="O25" s="4"/>
      <c r="P25" s="48"/>
      <c r="Q25" s="49" t="s">
        <v>141</v>
      </c>
      <c r="R25" s="305">
        <v>0.1</v>
      </c>
      <c r="S25" s="97">
        <v>0.0825</v>
      </c>
      <c r="T25" s="97">
        <v>0.03</v>
      </c>
      <c r="U25" s="46">
        <f aca="true" t="shared" si="1" ref="U25:U39">(S25-T25*(1-R25)*(1-(X25+(1-X25)*Y25)))/R25</f>
        <v>0.6650142</v>
      </c>
      <c r="V25" s="306">
        <v>1.4</v>
      </c>
      <c r="W25" s="307">
        <v>20</v>
      </c>
      <c r="X25" s="308">
        <v>0.35</v>
      </c>
      <c r="Y25" s="97">
        <v>0.0884</v>
      </c>
      <c r="Z25" s="308">
        <v>0.3</v>
      </c>
      <c r="AA25" s="307">
        <v>5</v>
      </c>
      <c r="AB25" s="309">
        <v>0</v>
      </c>
      <c r="AD25" s="4"/>
      <c r="AE25" s="48"/>
      <c r="AF25" s="107" t="s">
        <v>141</v>
      </c>
      <c r="AG25" s="56">
        <v>0.6</v>
      </c>
      <c r="AH25" s="57">
        <v>0.075</v>
      </c>
      <c r="AI25" s="57">
        <v>0.075</v>
      </c>
      <c r="AJ25" s="46">
        <f aca="true" t="shared" si="2" ref="AJ25:AJ39">(AH25-AI25*(1-AG25)*(1-(AM25+(1-AM25)*AN25)))/AG25</f>
        <v>0.09420625</v>
      </c>
      <c r="AK25" s="58">
        <v>1.4</v>
      </c>
      <c r="AL25" s="59">
        <v>20</v>
      </c>
      <c r="AM25" s="60">
        <v>0.35</v>
      </c>
      <c r="AN25" s="57">
        <v>0.0525</v>
      </c>
      <c r="AO25" s="60">
        <v>0.3</v>
      </c>
      <c r="AP25" s="59">
        <v>5</v>
      </c>
      <c r="AQ25" s="61">
        <v>0.01</v>
      </c>
    </row>
    <row r="26" spans="1:43" ht="12">
      <c r="A26" s="4"/>
      <c r="B26" s="48"/>
      <c r="C26" s="49" t="s">
        <v>142</v>
      </c>
      <c r="D26" s="56">
        <v>1</v>
      </c>
      <c r="E26" s="57">
        <v>0</v>
      </c>
      <c r="F26" s="57">
        <v>0</v>
      </c>
      <c r="G26" s="262">
        <f t="shared" si="0"/>
        <v>0</v>
      </c>
      <c r="H26" s="58">
        <v>0</v>
      </c>
      <c r="I26" s="59">
        <v>0</v>
      </c>
      <c r="J26" s="60">
        <v>0</v>
      </c>
      <c r="K26" s="57">
        <v>0</v>
      </c>
      <c r="L26" s="60">
        <v>0</v>
      </c>
      <c r="M26" s="59">
        <v>0</v>
      </c>
      <c r="N26" s="61">
        <v>0</v>
      </c>
      <c r="O26" s="4"/>
      <c r="P26" s="48"/>
      <c r="Q26" s="49" t="s">
        <v>142</v>
      </c>
      <c r="R26" s="305">
        <v>0.1</v>
      </c>
      <c r="S26" s="97">
        <v>0.0825</v>
      </c>
      <c r="T26" s="97">
        <v>0.03</v>
      </c>
      <c r="U26" s="46">
        <f t="shared" si="1"/>
        <v>0.6650142</v>
      </c>
      <c r="V26" s="306">
        <v>1.4</v>
      </c>
      <c r="W26" s="307">
        <v>20</v>
      </c>
      <c r="X26" s="308">
        <v>0.35</v>
      </c>
      <c r="Y26" s="97">
        <v>0.0884</v>
      </c>
      <c r="Z26" s="308">
        <v>0.3</v>
      </c>
      <c r="AA26" s="307">
        <v>5</v>
      </c>
      <c r="AB26" s="309">
        <v>0</v>
      </c>
      <c r="AD26" s="4"/>
      <c r="AE26" s="48"/>
      <c r="AF26" s="107" t="s">
        <v>142</v>
      </c>
      <c r="AG26" s="56">
        <v>0.6</v>
      </c>
      <c r="AH26" s="57">
        <v>0.075</v>
      </c>
      <c r="AI26" s="57">
        <v>0.075</v>
      </c>
      <c r="AJ26" s="46">
        <f t="shared" si="2"/>
        <v>0.09420625</v>
      </c>
      <c r="AK26" s="58">
        <v>1.4</v>
      </c>
      <c r="AL26" s="59">
        <v>20</v>
      </c>
      <c r="AM26" s="60">
        <v>0.35</v>
      </c>
      <c r="AN26" s="57">
        <v>0.0525</v>
      </c>
      <c r="AO26" s="60">
        <v>0.3</v>
      </c>
      <c r="AP26" s="59">
        <v>5</v>
      </c>
      <c r="AQ26" s="61">
        <v>0.01</v>
      </c>
    </row>
    <row r="27" spans="1:43" ht="12.75" thickBot="1">
      <c r="A27" s="4"/>
      <c r="B27" s="62"/>
      <c r="C27" s="49" t="s">
        <v>143</v>
      </c>
      <c r="D27" s="56">
        <v>1</v>
      </c>
      <c r="E27" s="57">
        <v>0</v>
      </c>
      <c r="F27" s="57">
        <v>0</v>
      </c>
      <c r="G27" s="262">
        <f t="shared" si="0"/>
        <v>0</v>
      </c>
      <c r="H27" s="58">
        <v>0</v>
      </c>
      <c r="I27" s="59">
        <v>0</v>
      </c>
      <c r="J27" s="60">
        <v>0</v>
      </c>
      <c r="K27" s="57">
        <v>0</v>
      </c>
      <c r="L27" s="60">
        <v>0</v>
      </c>
      <c r="M27" s="59">
        <v>0</v>
      </c>
      <c r="N27" s="61">
        <v>0</v>
      </c>
      <c r="O27" s="4"/>
      <c r="P27" s="62"/>
      <c r="Q27" s="49" t="s">
        <v>143</v>
      </c>
      <c r="R27" s="305">
        <v>0.1</v>
      </c>
      <c r="S27" s="97">
        <v>0.0825</v>
      </c>
      <c r="T27" s="97">
        <v>0.03</v>
      </c>
      <c r="U27" s="46">
        <f t="shared" si="1"/>
        <v>0.6650142</v>
      </c>
      <c r="V27" s="306">
        <v>1.4</v>
      </c>
      <c r="W27" s="307">
        <v>20</v>
      </c>
      <c r="X27" s="308">
        <v>0.35</v>
      </c>
      <c r="Y27" s="97">
        <v>0.0884</v>
      </c>
      <c r="Z27" s="308">
        <v>0.3</v>
      </c>
      <c r="AA27" s="307">
        <v>5</v>
      </c>
      <c r="AB27" s="309">
        <v>0</v>
      </c>
      <c r="AD27" s="4"/>
      <c r="AE27" s="62"/>
      <c r="AF27" s="107" t="s">
        <v>143</v>
      </c>
      <c r="AG27" s="56">
        <v>0.6</v>
      </c>
      <c r="AH27" s="57">
        <v>0.075</v>
      </c>
      <c r="AI27" s="57">
        <v>0.075</v>
      </c>
      <c r="AJ27" s="46">
        <f t="shared" si="2"/>
        <v>0.09420625</v>
      </c>
      <c r="AK27" s="58">
        <v>1.4</v>
      </c>
      <c r="AL27" s="59">
        <v>20</v>
      </c>
      <c r="AM27" s="60">
        <v>0.35</v>
      </c>
      <c r="AN27" s="57">
        <v>0.0525</v>
      </c>
      <c r="AO27" s="60">
        <v>0.3</v>
      </c>
      <c r="AP27" s="59">
        <v>5</v>
      </c>
      <c r="AQ27" s="61">
        <v>0.01</v>
      </c>
    </row>
    <row r="28" spans="1:43" ht="12">
      <c r="A28" s="4"/>
      <c r="B28" s="105" t="s">
        <v>129</v>
      </c>
      <c r="C28" s="106" t="s">
        <v>140</v>
      </c>
      <c r="D28" s="50">
        <v>1</v>
      </c>
      <c r="E28" s="51">
        <v>0</v>
      </c>
      <c r="F28" s="51">
        <v>0</v>
      </c>
      <c r="G28" s="264">
        <f t="shared" si="0"/>
        <v>0</v>
      </c>
      <c r="H28" s="52">
        <v>0</v>
      </c>
      <c r="I28" s="53">
        <v>0</v>
      </c>
      <c r="J28" s="54">
        <v>0</v>
      </c>
      <c r="K28" s="51">
        <v>0</v>
      </c>
      <c r="L28" s="54">
        <v>0</v>
      </c>
      <c r="M28" s="53">
        <v>0</v>
      </c>
      <c r="N28" s="55">
        <v>0</v>
      </c>
      <c r="O28" s="4"/>
      <c r="P28" s="105" t="s">
        <v>129</v>
      </c>
      <c r="Q28" s="260" t="s">
        <v>140</v>
      </c>
      <c r="R28" s="301">
        <v>0.1</v>
      </c>
      <c r="S28" s="109">
        <v>0.0825</v>
      </c>
      <c r="T28" s="109">
        <v>0.03</v>
      </c>
      <c r="U28" s="45">
        <f t="shared" si="1"/>
        <v>0.6650142</v>
      </c>
      <c r="V28" s="302">
        <v>1.4</v>
      </c>
      <c r="W28" s="303">
        <v>20</v>
      </c>
      <c r="X28" s="242">
        <v>0.35</v>
      </c>
      <c r="Y28" s="109">
        <v>0.0884</v>
      </c>
      <c r="Z28" s="242">
        <v>0.3</v>
      </c>
      <c r="AA28" s="303">
        <v>5</v>
      </c>
      <c r="AB28" s="304">
        <v>0</v>
      </c>
      <c r="AD28" s="4"/>
      <c r="AE28" s="105" t="s">
        <v>129</v>
      </c>
      <c r="AF28" s="106" t="s">
        <v>140</v>
      </c>
      <c r="AG28" s="50">
        <v>0.6</v>
      </c>
      <c r="AH28" s="51">
        <v>0.075</v>
      </c>
      <c r="AI28" s="51">
        <v>0.075</v>
      </c>
      <c r="AJ28" s="45">
        <f t="shared" si="2"/>
        <v>0.09420625</v>
      </c>
      <c r="AK28" s="52">
        <v>1.4</v>
      </c>
      <c r="AL28" s="53">
        <v>20</v>
      </c>
      <c r="AM28" s="54">
        <v>0.35</v>
      </c>
      <c r="AN28" s="51">
        <v>0.0525</v>
      </c>
      <c r="AO28" s="54">
        <v>0.3</v>
      </c>
      <c r="AP28" s="53">
        <v>5</v>
      </c>
      <c r="AQ28" s="55">
        <v>0.01</v>
      </c>
    </row>
    <row r="29" spans="1:43" ht="12">
      <c r="A29" s="4"/>
      <c r="B29" s="48"/>
      <c r="C29" s="107" t="s">
        <v>141</v>
      </c>
      <c r="D29" s="56">
        <v>1</v>
      </c>
      <c r="E29" s="57">
        <v>0</v>
      </c>
      <c r="F29" s="57">
        <v>0</v>
      </c>
      <c r="G29" s="262">
        <f t="shared" si="0"/>
        <v>0</v>
      </c>
      <c r="H29" s="58">
        <v>0</v>
      </c>
      <c r="I29" s="59">
        <v>0</v>
      </c>
      <c r="J29" s="60">
        <v>0</v>
      </c>
      <c r="K29" s="57">
        <v>0</v>
      </c>
      <c r="L29" s="60">
        <v>0</v>
      </c>
      <c r="M29" s="59">
        <v>0</v>
      </c>
      <c r="N29" s="61">
        <v>0</v>
      </c>
      <c r="O29" s="4"/>
      <c r="P29" s="48"/>
      <c r="Q29" s="49" t="s">
        <v>141</v>
      </c>
      <c r="R29" s="305">
        <v>0.1</v>
      </c>
      <c r="S29" s="97">
        <v>0.0825</v>
      </c>
      <c r="T29" s="97">
        <v>0.03</v>
      </c>
      <c r="U29" s="46">
        <f t="shared" si="1"/>
        <v>0.6650142</v>
      </c>
      <c r="V29" s="306">
        <v>1.4</v>
      </c>
      <c r="W29" s="307">
        <v>20</v>
      </c>
      <c r="X29" s="308">
        <v>0.35</v>
      </c>
      <c r="Y29" s="97">
        <v>0.0884</v>
      </c>
      <c r="Z29" s="308">
        <v>0.3</v>
      </c>
      <c r="AA29" s="307">
        <v>5</v>
      </c>
      <c r="AB29" s="309">
        <v>0</v>
      </c>
      <c r="AD29" s="4"/>
      <c r="AE29" s="48"/>
      <c r="AF29" s="107" t="s">
        <v>141</v>
      </c>
      <c r="AG29" s="56">
        <v>0.6</v>
      </c>
      <c r="AH29" s="57">
        <v>0.075</v>
      </c>
      <c r="AI29" s="57">
        <v>0.075</v>
      </c>
      <c r="AJ29" s="46">
        <f t="shared" si="2"/>
        <v>0.09420625</v>
      </c>
      <c r="AK29" s="58">
        <v>1.4</v>
      </c>
      <c r="AL29" s="59">
        <v>20</v>
      </c>
      <c r="AM29" s="60">
        <v>0.35</v>
      </c>
      <c r="AN29" s="57">
        <v>0.0525</v>
      </c>
      <c r="AO29" s="60">
        <v>0.3</v>
      </c>
      <c r="AP29" s="59">
        <v>5</v>
      </c>
      <c r="AQ29" s="61">
        <v>0.01</v>
      </c>
    </row>
    <row r="30" spans="1:43" ht="12">
      <c r="A30" s="4"/>
      <c r="B30" s="48"/>
      <c r="C30" s="107" t="s">
        <v>142</v>
      </c>
      <c r="D30" s="56">
        <v>1</v>
      </c>
      <c r="E30" s="57">
        <v>0</v>
      </c>
      <c r="F30" s="57">
        <v>0</v>
      </c>
      <c r="G30" s="262">
        <f t="shared" si="0"/>
        <v>0</v>
      </c>
      <c r="H30" s="58">
        <v>0</v>
      </c>
      <c r="I30" s="59">
        <v>0</v>
      </c>
      <c r="J30" s="60">
        <v>0</v>
      </c>
      <c r="K30" s="57">
        <v>0</v>
      </c>
      <c r="L30" s="60">
        <v>0</v>
      </c>
      <c r="M30" s="59">
        <v>0</v>
      </c>
      <c r="N30" s="61">
        <v>0</v>
      </c>
      <c r="O30" s="4"/>
      <c r="P30" s="48"/>
      <c r="Q30" s="49" t="s">
        <v>142</v>
      </c>
      <c r="R30" s="305">
        <v>0.1</v>
      </c>
      <c r="S30" s="97">
        <v>0.0825</v>
      </c>
      <c r="T30" s="97">
        <v>0.03</v>
      </c>
      <c r="U30" s="46">
        <f t="shared" si="1"/>
        <v>0.6650142</v>
      </c>
      <c r="V30" s="306">
        <v>1.4</v>
      </c>
      <c r="W30" s="307">
        <v>20</v>
      </c>
      <c r="X30" s="308">
        <v>0.35</v>
      </c>
      <c r="Y30" s="97">
        <v>0.0884</v>
      </c>
      <c r="Z30" s="308">
        <v>0.3</v>
      </c>
      <c r="AA30" s="307">
        <v>5</v>
      </c>
      <c r="AB30" s="309">
        <v>0</v>
      </c>
      <c r="AD30" s="4"/>
      <c r="AE30" s="48"/>
      <c r="AF30" s="107" t="s">
        <v>142</v>
      </c>
      <c r="AG30" s="56">
        <v>0.6</v>
      </c>
      <c r="AH30" s="57">
        <v>0.075</v>
      </c>
      <c r="AI30" s="57">
        <v>0.075</v>
      </c>
      <c r="AJ30" s="46">
        <f t="shared" si="2"/>
        <v>0.09420625</v>
      </c>
      <c r="AK30" s="58">
        <v>1.4</v>
      </c>
      <c r="AL30" s="59">
        <v>20</v>
      </c>
      <c r="AM30" s="60">
        <v>0.35</v>
      </c>
      <c r="AN30" s="57">
        <v>0.0525</v>
      </c>
      <c r="AO30" s="60">
        <v>0.3</v>
      </c>
      <c r="AP30" s="59">
        <v>5</v>
      </c>
      <c r="AQ30" s="61">
        <v>0.01</v>
      </c>
    </row>
    <row r="31" spans="1:43" ht="12.75" thickBot="1">
      <c r="A31" s="4"/>
      <c r="B31" s="62"/>
      <c r="C31" s="108" t="s">
        <v>143</v>
      </c>
      <c r="D31" s="63">
        <v>1</v>
      </c>
      <c r="E31" s="64">
        <v>0</v>
      </c>
      <c r="F31" s="64">
        <v>0</v>
      </c>
      <c r="G31" s="263">
        <f t="shared" si="0"/>
        <v>0</v>
      </c>
      <c r="H31" s="65">
        <v>0</v>
      </c>
      <c r="I31" s="66">
        <v>0</v>
      </c>
      <c r="J31" s="67">
        <v>0</v>
      </c>
      <c r="K31" s="64">
        <v>0</v>
      </c>
      <c r="L31" s="67">
        <v>0</v>
      </c>
      <c r="M31" s="66">
        <v>0</v>
      </c>
      <c r="N31" s="68">
        <v>0</v>
      </c>
      <c r="O31" s="4"/>
      <c r="P31" s="62"/>
      <c r="Q31" s="261" t="s">
        <v>143</v>
      </c>
      <c r="R31" s="310">
        <v>0.1</v>
      </c>
      <c r="S31" s="110">
        <v>0.0825</v>
      </c>
      <c r="T31" s="110">
        <v>0.03</v>
      </c>
      <c r="U31" s="47">
        <f t="shared" si="1"/>
        <v>0.6650142</v>
      </c>
      <c r="V31" s="311">
        <v>1.4</v>
      </c>
      <c r="W31" s="312">
        <v>20</v>
      </c>
      <c r="X31" s="313">
        <v>0.35</v>
      </c>
      <c r="Y31" s="110">
        <v>0.0884</v>
      </c>
      <c r="Z31" s="313">
        <v>0.3</v>
      </c>
      <c r="AA31" s="312">
        <v>5</v>
      </c>
      <c r="AB31" s="314">
        <v>0</v>
      </c>
      <c r="AD31" s="4"/>
      <c r="AE31" s="62"/>
      <c r="AF31" s="108" t="s">
        <v>143</v>
      </c>
      <c r="AG31" s="63">
        <v>0.6</v>
      </c>
      <c r="AH31" s="64">
        <v>0.075</v>
      </c>
      <c r="AI31" s="64">
        <v>0.075</v>
      </c>
      <c r="AJ31" s="47">
        <f t="shared" si="2"/>
        <v>0.09420625</v>
      </c>
      <c r="AK31" s="65">
        <v>1.4</v>
      </c>
      <c r="AL31" s="66">
        <v>20</v>
      </c>
      <c r="AM31" s="67">
        <v>0.35</v>
      </c>
      <c r="AN31" s="64">
        <v>0.0525</v>
      </c>
      <c r="AO31" s="67">
        <v>0.3</v>
      </c>
      <c r="AP31" s="66">
        <v>5</v>
      </c>
      <c r="AQ31" s="68">
        <v>0.01</v>
      </c>
    </row>
    <row r="32" spans="1:43" ht="12">
      <c r="A32" s="4"/>
      <c r="B32" s="105" t="s">
        <v>145</v>
      </c>
      <c r="C32" s="106" t="s">
        <v>140</v>
      </c>
      <c r="D32" s="56">
        <v>1</v>
      </c>
      <c r="E32" s="57">
        <v>0</v>
      </c>
      <c r="F32" s="57">
        <v>0</v>
      </c>
      <c r="G32" s="262">
        <f t="shared" si="0"/>
        <v>0</v>
      </c>
      <c r="H32" s="58">
        <v>0</v>
      </c>
      <c r="I32" s="59">
        <v>0</v>
      </c>
      <c r="J32" s="60">
        <v>0</v>
      </c>
      <c r="K32" s="57">
        <v>0</v>
      </c>
      <c r="L32" s="60">
        <v>0</v>
      </c>
      <c r="M32" s="59">
        <v>0</v>
      </c>
      <c r="N32" s="61">
        <v>0</v>
      </c>
      <c r="O32" s="4"/>
      <c r="P32" s="105" t="s">
        <v>145</v>
      </c>
      <c r="Q32" s="260" t="s">
        <v>140</v>
      </c>
      <c r="R32" s="305">
        <v>0.1</v>
      </c>
      <c r="S32" s="97">
        <v>0.0825</v>
      </c>
      <c r="T32" s="97">
        <v>0.03</v>
      </c>
      <c r="U32" s="46">
        <f t="shared" si="1"/>
        <v>0.6650142</v>
      </c>
      <c r="V32" s="306">
        <v>1.4</v>
      </c>
      <c r="W32" s="307">
        <v>20</v>
      </c>
      <c r="X32" s="308">
        <v>0.35</v>
      </c>
      <c r="Y32" s="97">
        <v>0.0884</v>
      </c>
      <c r="Z32" s="308">
        <v>0.3</v>
      </c>
      <c r="AA32" s="307">
        <v>5</v>
      </c>
      <c r="AB32" s="309">
        <v>0</v>
      </c>
      <c r="AD32" s="4"/>
      <c r="AE32" s="105" t="s">
        <v>145</v>
      </c>
      <c r="AF32" s="106" t="s">
        <v>140</v>
      </c>
      <c r="AG32" s="56">
        <v>0.6</v>
      </c>
      <c r="AH32" s="57">
        <v>0.075</v>
      </c>
      <c r="AI32" s="57">
        <v>0.075</v>
      </c>
      <c r="AJ32" s="46">
        <f t="shared" si="2"/>
        <v>0.09420625</v>
      </c>
      <c r="AK32" s="58">
        <v>1.4</v>
      </c>
      <c r="AL32" s="59">
        <v>20</v>
      </c>
      <c r="AM32" s="60">
        <v>0.35</v>
      </c>
      <c r="AN32" s="57">
        <v>0.0525</v>
      </c>
      <c r="AO32" s="60">
        <v>0.3</v>
      </c>
      <c r="AP32" s="59">
        <v>5</v>
      </c>
      <c r="AQ32" s="61">
        <v>0.01</v>
      </c>
    </row>
    <row r="33" spans="1:43" ht="12">
      <c r="A33" s="4"/>
      <c r="B33" s="48"/>
      <c r="C33" s="107" t="s">
        <v>141</v>
      </c>
      <c r="D33" s="56">
        <v>1</v>
      </c>
      <c r="E33" s="57">
        <v>0</v>
      </c>
      <c r="F33" s="57">
        <v>0</v>
      </c>
      <c r="G33" s="262">
        <f t="shared" si="0"/>
        <v>0</v>
      </c>
      <c r="H33" s="58">
        <v>0</v>
      </c>
      <c r="I33" s="59">
        <v>0</v>
      </c>
      <c r="J33" s="60">
        <v>0</v>
      </c>
      <c r="K33" s="57">
        <v>0</v>
      </c>
      <c r="L33" s="60">
        <v>0</v>
      </c>
      <c r="M33" s="59">
        <v>0</v>
      </c>
      <c r="N33" s="61">
        <v>0</v>
      </c>
      <c r="O33" s="4"/>
      <c r="P33" s="48"/>
      <c r="Q33" s="49" t="s">
        <v>141</v>
      </c>
      <c r="R33" s="305">
        <v>0.1</v>
      </c>
      <c r="S33" s="97">
        <v>0.0825</v>
      </c>
      <c r="T33" s="97">
        <v>0.03</v>
      </c>
      <c r="U33" s="46">
        <f t="shared" si="1"/>
        <v>0.6650142</v>
      </c>
      <c r="V33" s="306">
        <v>1.4</v>
      </c>
      <c r="W33" s="307">
        <v>20</v>
      </c>
      <c r="X33" s="308">
        <v>0.35</v>
      </c>
      <c r="Y33" s="97">
        <v>0.0884</v>
      </c>
      <c r="Z33" s="308">
        <v>0.3</v>
      </c>
      <c r="AA33" s="307">
        <v>5</v>
      </c>
      <c r="AB33" s="309">
        <v>0</v>
      </c>
      <c r="AD33" s="4"/>
      <c r="AE33" s="48"/>
      <c r="AF33" s="107" t="s">
        <v>141</v>
      </c>
      <c r="AG33" s="56">
        <v>0.6</v>
      </c>
      <c r="AH33" s="57">
        <v>0.075</v>
      </c>
      <c r="AI33" s="57">
        <v>0.075</v>
      </c>
      <c r="AJ33" s="46">
        <f t="shared" si="2"/>
        <v>0.09420625</v>
      </c>
      <c r="AK33" s="58">
        <v>1.4</v>
      </c>
      <c r="AL33" s="59">
        <v>20</v>
      </c>
      <c r="AM33" s="60">
        <v>0.35</v>
      </c>
      <c r="AN33" s="57">
        <v>0.0525</v>
      </c>
      <c r="AO33" s="60">
        <v>0.3</v>
      </c>
      <c r="AP33" s="59">
        <v>5</v>
      </c>
      <c r="AQ33" s="61">
        <v>0.01</v>
      </c>
    </row>
    <row r="34" spans="1:43" ht="12">
      <c r="A34" s="4"/>
      <c r="B34" s="48"/>
      <c r="C34" s="107" t="s">
        <v>142</v>
      </c>
      <c r="D34" s="56">
        <v>1</v>
      </c>
      <c r="E34" s="57">
        <v>0</v>
      </c>
      <c r="F34" s="57">
        <v>0</v>
      </c>
      <c r="G34" s="262">
        <f t="shared" si="0"/>
        <v>0</v>
      </c>
      <c r="H34" s="58">
        <v>0</v>
      </c>
      <c r="I34" s="59">
        <v>0</v>
      </c>
      <c r="J34" s="60">
        <v>0</v>
      </c>
      <c r="K34" s="57">
        <v>0</v>
      </c>
      <c r="L34" s="60">
        <v>0</v>
      </c>
      <c r="M34" s="59">
        <v>0</v>
      </c>
      <c r="N34" s="61">
        <v>0</v>
      </c>
      <c r="O34" s="4"/>
      <c r="P34" s="48"/>
      <c r="Q34" s="49" t="s">
        <v>142</v>
      </c>
      <c r="R34" s="305">
        <v>0.1</v>
      </c>
      <c r="S34" s="97">
        <v>0.0825</v>
      </c>
      <c r="T34" s="97">
        <v>0.03</v>
      </c>
      <c r="U34" s="46">
        <f t="shared" si="1"/>
        <v>0.6650142</v>
      </c>
      <c r="V34" s="306">
        <v>1.4</v>
      </c>
      <c r="W34" s="307">
        <v>20</v>
      </c>
      <c r="X34" s="308">
        <v>0.35</v>
      </c>
      <c r="Y34" s="97">
        <v>0.0884</v>
      </c>
      <c r="Z34" s="308">
        <v>0.3</v>
      </c>
      <c r="AA34" s="307">
        <v>5</v>
      </c>
      <c r="AB34" s="309">
        <v>0</v>
      </c>
      <c r="AD34" s="4"/>
      <c r="AE34" s="48"/>
      <c r="AF34" s="107" t="s">
        <v>142</v>
      </c>
      <c r="AG34" s="56">
        <v>0.6</v>
      </c>
      <c r="AH34" s="57">
        <v>0.075</v>
      </c>
      <c r="AI34" s="57">
        <v>0.075</v>
      </c>
      <c r="AJ34" s="46">
        <f t="shared" si="2"/>
        <v>0.09420625</v>
      </c>
      <c r="AK34" s="58">
        <v>1.4</v>
      </c>
      <c r="AL34" s="59">
        <v>20</v>
      </c>
      <c r="AM34" s="60">
        <v>0.35</v>
      </c>
      <c r="AN34" s="57">
        <v>0.0525</v>
      </c>
      <c r="AO34" s="60">
        <v>0.3</v>
      </c>
      <c r="AP34" s="59">
        <v>5</v>
      </c>
      <c r="AQ34" s="61">
        <v>0.01</v>
      </c>
    </row>
    <row r="35" spans="1:43" ht="12.75" thickBot="1">
      <c r="A35" s="4"/>
      <c r="B35" s="62"/>
      <c r="C35" s="108" t="s">
        <v>143</v>
      </c>
      <c r="D35" s="56">
        <v>1</v>
      </c>
      <c r="E35" s="57">
        <v>0</v>
      </c>
      <c r="F35" s="57">
        <v>0</v>
      </c>
      <c r="G35" s="262">
        <f t="shared" si="0"/>
        <v>0</v>
      </c>
      <c r="H35" s="58">
        <v>0</v>
      </c>
      <c r="I35" s="59">
        <v>0</v>
      </c>
      <c r="J35" s="60">
        <v>0</v>
      </c>
      <c r="K35" s="57">
        <v>0</v>
      </c>
      <c r="L35" s="60">
        <v>0</v>
      </c>
      <c r="M35" s="59">
        <v>0</v>
      </c>
      <c r="N35" s="61">
        <v>0</v>
      </c>
      <c r="O35" s="4"/>
      <c r="P35" s="62"/>
      <c r="Q35" s="261" t="s">
        <v>143</v>
      </c>
      <c r="R35" s="310">
        <v>0.1</v>
      </c>
      <c r="S35" s="110">
        <v>0.0825</v>
      </c>
      <c r="T35" s="110">
        <v>0.03</v>
      </c>
      <c r="U35" s="47">
        <f t="shared" si="1"/>
        <v>0.6650142</v>
      </c>
      <c r="V35" s="311">
        <v>1.4</v>
      </c>
      <c r="W35" s="312">
        <v>20</v>
      </c>
      <c r="X35" s="313">
        <v>0.35</v>
      </c>
      <c r="Y35" s="110">
        <v>0.0884</v>
      </c>
      <c r="Z35" s="313">
        <v>0.3</v>
      </c>
      <c r="AA35" s="312">
        <v>5</v>
      </c>
      <c r="AB35" s="314">
        <v>0</v>
      </c>
      <c r="AD35" s="4"/>
      <c r="AE35" s="62"/>
      <c r="AF35" s="108" t="s">
        <v>143</v>
      </c>
      <c r="AG35" s="56">
        <v>0.6</v>
      </c>
      <c r="AH35" s="57">
        <v>0.075</v>
      </c>
      <c r="AI35" s="57">
        <v>0.075</v>
      </c>
      <c r="AJ35" s="46">
        <f t="shared" si="2"/>
        <v>0.09420625</v>
      </c>
      <c r="AK35" s="58">
        <v>1.4</v>
      </c>
      <c r="AL35" s="59">
        <v>20</v>
      </c>
      <c r="AM35" s="60">
        <v>0.35</v>
      </c>
      <c r="AN35" s="57">
        <v>0.0525</v>
      </c>
      <c r="AO35" s="60">
        <v>0.3</v>
      </c>
      <c r="AP35" s="59">
        <v>5</v>
      </c>
      <c r="AQ35" s="61">
        <v>0.01</v>
      </c>
    </row>
    <row r="36" spans="1:43" ht="12">
      <c r="A36" s="4"/>
      <c r="B36" s="105" t="s">
        <v>146</v>
      </c>
      <c r="C36" s="49" t="s">
        <v>140</v>
      </c>
      <c r="D36" s="50">
        <v>1</v>
      </c>
      <c r="E36" s="51">
        <v>0</v>
      </c>
      <c r="F36" s="51">
        <v>0</v>
      </c>
      <c r="G36" s="264">
        <f t="shared" si="0"/>
        <v>0</v>
      </c>
      <c r="H36" s="52">
        <v>0</v>
      </c>
      <c r="I36" s="53">
        <v>0</v>
      </c>
      <c r="J36" s="54">
        <v>0</v>
      </c>
      <c r="K36" s="51">
        <v>0</v>
      </c>
      <c r="L36" s="54">
        <v>0</v>
      </c>
      <c r="M36" s="53">
        <v>0</v>
      </c>
      <c r="N36" s="55">
        <v>0</v>
      </c>
      <c r="O36" s="4"/>
      <c r="P36" s="105" t="s">
        <v>146</v>
      </c>
      <c r="Q36" s="49" t="s">
        <v>140</v>
      </c>
      <c r="R36" s="305">
        <v>0.1</v>
      </c>
      <c r="S36" s="97">
        <v>0.0825</v>
      </c>
      <c r="T36" s="97">
        <v>0.03</v>
      </c>
      <c r="U36" s="46">
        <f t="shared" si="1"/>
        <v>0.6650142</v>
      </c>
      <c r="V36" s="306">
        <v>1.4</v>
      </c>
      <c r="W36" s="307">
        <v>20</v>
      </c>
      <c r="X36" s="308">
        <v>0.35</v>
      </c>
      <c r="Y36" s="97">
        <v>0.0884</v>
      </c>
      <c r="Z36" s="308">
        <v>0.3</v>
      </c>
      <c r="AA36" s="307">
        <v>5</v>
      </c>
      <c r="AB36" s="309">
        <v>0</v>
      </c>
      <c r="AD36" s="4"/>
      <c r="AE36" s="105" t="s">
        <v>146</v>
      </c>
      <c r="AF36" s="107" t="s">
        <v>140</v>
      </c>
      <c r="AG36" s="50">
        <v>0.6</v>
      </c>
      <c r="AH36" s="51">
        <v>0.075</v>
      </c>
      <c r="AI36" s="51">
        <v>0.075</v>
      </c>
      <c r="AJ36" s="45">
        <f t="shared" si="2"/>
        <v>0.09420625</v>
      </c>
      <c r="AK36" s="52">
        <v>1.4</v>
      </c>
      <c r="AL36" s="53">
        <v>20</v>
      </c>
      <c r="AM36" s="54">
        <v>0.35</v>
      </c>
      <c r="AN36" s="51">
        <v>0.0525</v>
      </c>
      <c r="AO36" s="54">
        <v>0.3</v>
      </c>
      <c r="AP36" s="53">
        <v>5</v>
      </c>
      <c r="AQ36" s="55">
        <v>0.01</v>
      </c>
    </row>
    <row r="37" spans="1:43" ht="12">
      <c r="A37" s="4"/>
      <c r="B37" s="48"/>
      <c r="C37" s="49" t="s">
        <v>141</v>
      </c>
      <c r="D37" s="56">
        <v>1</v>
      </c>
      <c r="E37" s="57">
        <v>0</v>
      </c>
      <c r="F37" s="57">
        <v>0</v>
      </c>
      <c r="G37" s="262">
        <f t="shared" si="0"/>
        <v>0</v>
      </c>
      <c r="H37" s="58">
        <v>0</v>
      </c>
      <c r="I37" s="59">
        <v>0</v>
      </c>
      <c r="J37" s="60">
        <v>0</v>
      </c>
      <c r="K37" s="57">
        <v>0</v>
      </c>
      <c r="L37" s="60">
        <v>0</v>
      </c>
      <c r="M37" s="59">
        <v>0</v>
      </c>
      <c r="N37" s="61">
        <v>0</v>
      </c>
      <c r="O37" s="4"/>
      <c r="P37" s="48"/>
      <c r="Q37" s="49" t="s">
        <v>141</v>
      </c>
      <c r="R37" s="305">
        <v>0.1</v>
      </c>
      <c r="S37" s="97">
        <v>0.0825</v>
      </c>
      <c r="T37" s="97">
        <v>0.03</v>
      </c>
      <c r="U37" s="46">
        <f t="shared" si="1"/>
        <v>0.6650142</v>
      </c>
      <c r="V37" s="306">
        <v>1.4</v>
      </c>
      <c r="W37" s="307">
        <v>20</v>
      </c>
      <c r="X37" s="308">
        <v>0.35</v>
      </c>
      <c r="Y37" s="97">
        <v>0.0884</v>
      </c>
      <c r="Z37" s="308">
        <v>0.3</v>
      </c>
      <c r="AA37" s="307">
        <v>5</v>
      </c>
      <c r="AB37" s="309">
        <v>0</v>
      </c>
      <c r="AD37" s="4"/>
      <c r="AE37" s="48"/>
      <c r="AF37" s="107" t="s">
        <v>141</v>
      </c>
      <c r="AG37" s="56">
        <v>0.6</v>
      </c>
      <c r="AH37" s="57">
        <v>0.075</v>
      </c>
      <c r="AI37" s="57">
        <v>0.075</v>
      </c>
      <c r="AJ37" s="46">
        <f t="shared" si="2"/>
        <v>0.09420625</v>
      </c>
      <c r="AK37" s="58">
        <v>1.4</v>
      </c>
      <c r="AL37" s="59">
        <v>20</v>
      </c>
      <c r="AM37" s="60">
        <v>0.35</v>
      </c>
      <c r="AN37" s="57">
        <v>0.0525</v>
      </c>
      <c r="AO37" s="60">
        <v>0.3</v>
      </c>
      <c r="AP37" s="59">
        <v>5</v>
      </c>
      <c r="AQ37" s="61">
        <v>0.01</v>
      </c>
    </row>
    <row r="38" spans="1:43" ht="12">
      <c r="A38" s="4"/>
      <c r="B38" s="48"/>
      <c r="C38" s="49" t="s">
        <v>142</v>
      </c>
      <c r="D38" s="56">
        <v>1</v>
      </c>
      <c r="E38" s="57">
        <v>0</v>
      </c>
      <c r="F38" s="57">
        <v>0</v>
      </c>
      <c r="G38" s="262">
        <f t="shared" si="0"/>
        <v>0</v>
      </c>
      <c r="H38" s="58">
        <v>0</v>
      </c>
      <c r="I38" s="59">
        <v>0</v>
      </c>
      <c r="J38" s="60">
        <v>0</v>
      </c>
      <c r="K38" s="57">
        <v>0</v>
      </c>
      <c r="L38" s="60">
        <v>0</v>
      </c>
      <c r="M38" s="59">
        <v>0</v>
      </c>
      <c r="N38" s="61">
        <v>0</v>
      </c>
      <c r="O38" s="4"/>
      <c r="P38" s="48"/>
      <c r="Q38" s="49" t="s">
        <v>142</v>
      </c>
      <c r="R38" s="305">
        <v>0.1</v>
      </c>
      <c r="S38" s="97">
        <v>0.0825</v>
      </c>
      <c r="T38" s="97">
        <v>0.03</v>
      </c>
      <c r="U38" s="46">
        <f t="shared" si="1"/>
        <v>0.6650142</v>
      </c>
      <c r="V38" s="306">
        <v>1.4</v>
      </c>
      <c r="W38" s="307">
        <v>20</v>
      </c>
      <c r="X38" s="308">
        <v>0.35</v>
      </c>
      <c r="Y38" s="97">
        <v>0.0884</v>
      </c>
      <c r="Z38" s="308">
        <v>0.3</v>
      </c>
      <c r="AA38" s="307">
        <v>5</v>
      </c>
      <c r="AB38" s="309">
        <v>0</v>
      </c>
      <c r="AD38" s="4"/>
      <c r="AE38" s="48"/>
      <c r="AF38" s="107" t="s">
        <v>142</v>
      </c>
      <c r="AG38" s="56">
        <v>0.6</v>
      </c>
      <c r="AH38" s="57">
        <v>0.075</v>
      </c>
      <c r="AI38" s="57">
        <v>0.075</v>
      </c>
      <c r="AJ38" s="46">
        <f t="shared" si="2"/>
        <v>0.09420625</v>
      </c>
      <c r="AK38" s="58">
        <v>1.4</v>
      </c>
      <c r="AL38" s="59">
        <v>20</v>
      </c>
      <c r="AM38" s="60">
        <v>0.35</v>
      </c>
      <c r="AN38" s="57">
        <v>0.0525</v>
      </c>
      <c r="AO38" s="60">
        <v>0.3</v>
      </c>
      <c r="AP38" s="59">
        <v>5</v>
      </c>
      <c r="AQ38" s="61">
        <v>0.01</v>
      </c>
    </row>
    <row r="39" spans="1:43" ht="12.75" thickBot="1">
      <c r="A39" s="4"/>
      <c r="B39" s="62"/>
      <c r="C39" s="261" t="s">
        <v>143</v>
      </c>
      <c r="D39" s="63">
        <v>1</v>
      </c>
      <c r="E39" s="64">
        <v>0</v>
      </c>
      <c r="F39" s="64">
        <v>0</v>
      </c>
      <c r="G39" s="263">
        <f t="shared" si="0"/>
        <v>0</v>
      </c>
      <c r="H39" s="65">
        <v>0</v>
      </c>
      <c r="I39" s="66">
        <v>0</v>
      </c>
      <c r="J39" s="67">
        <v>0</v>
      </c>
      <c r="K39" s="64">
        <v>0</v>
      </c>
      <c r="L39" s="67">
        <v>0</v>
      </c>
      <c r="M39" s="66">
        <v>0</v>
      </c>
      <c r="N39" s="68">
        <v>0</v>
      </c>
      <c r="O39" s="4"/>
      <c r="P39" s="62"/>
      <c r="Q39" s="261" t="s">
        <v>143</v>
      </c>
      <c r="R39" s="305">
        <v>0.1</v>
      </c>
      <c r="S39" s="97">
        <v>0.0825</v>
      </c>
      <c r="T39" s="97">
        <v>0.03</v>
      </c>
      <c r="U39" s="46">
        <f t="shared" si="1"/>
        <v>0.6650142</v>
      </c>
      <c r="V39" s="306">
        <v>1.4</v>
      </c>
      <c r="W39" s="307">
        <v>20</v>
      </c>
      <c r="X39" s="308">
        <v>0.35</v>
      </c>
      <c r="Y39" s="97">
        <v>0.0884</v>
      </c>
      <c r="Z39" s="308">
        <v>0.3</v>
      </c>
      <c r="AA39" s="307">
        <v>5</v>
      </c>
      <c r="AB39" s="309">
        <v>0</v>
      </c>
      <c r="AD39" s="4"/>
      <c r="AE39" s="62"/>
      <c r="AF39" s="108" t="s">
        <v>143</v>
      </c>
      <c r="AG39" s="63">
        <v>0.6</v>
      </c>
      <c r="AH39" s="64">
        <v>0.075</v>
      </c>
      <c r="AI39" s="64">
        <v>0.075</v>
      </c>
      <c r="AJ39" s="47">
        <f t="shared" si="2"/>
        <v>0.09420625</v>
      </c>
      <c r="AK39" s="65">
        <v>1.4</v>
      </c>
      <c r="AL39" s="66">
        <v>20</v>
      </c>
      <c r="AM39" s="67">
        <v>0.35</v>
      </c>
      <c r="AN39" s="64">
        <v>0.0525</v>
      </c>
      <c r="AO39" s="67">
        <v>0.3</v>
      </c>
      <c r="AP39" s="66">
        <v>5</v>
      </c>
      <c r="AQ39" s="68">
        <v>0.01</v>
      </c>
    </row>
    <row r="40" spans="1:43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8.75" thickBot="1">
      <c r="A41" s="4"/>
      <c r="B41" s="243" t="s">
        <v>187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43" t="s">
        <v>187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D41" s="4"/>
      <c r="AE41" s="243" t="s">
        <v>187</v>
      </c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36.75" thickBot="1">
      <c r="A42" s="4"/>
      <c r="B42" s="39" t="s">
        <v>118</v>
      </c>
      <c r="C42" s="40" t="s">
        <v>119</v>
      </c>
      <c r="D42" s="255" t="s">
        <v>188</v>
      </c>
      <c r="E42" s="251" t="s">
        <v>189</v>
      </c>
      <c r="F42" s="251" t="s">
        <v>190</v>
      </c>
      <c r="G42" s="251" t="s">
        <v>191</v>
      </c>
      <c r="H42" s="251" t="s">
        <v>94</v>
      </c>
      <c r="I42" s="251" t="s">
        <v>192</v>
      </c>
      <c r="J42" s="251"/>
      <c r="K42" s="252"/>
      <c r="L42" s="252"/>
      <c r="M42" s="252"/>
      <c r="N42" s="253"/>
      <c r="O42" s="4"/>
      <c r="P42" s="39" t="s">
        <v>118</v>
      </c>
      <c r="Q42" s="40" t="s">
        <v>119</v>
      </c>
      <c r="R42" s="255" t="s">
        <v>188</v>
      </c>
      <c r="S42" s="251" t="s">
        <v>189</v>
      </c>
      <c r="T42" s="251" t="s">
        <v>190</v>
      </c>
      <c r="U42" s="251" t="s">
        <v>191</v>
      </c>
      <c r="V42" s="251" t="s">
        <v>94</v>
      </c>
      <c r="W42" s="251" t="s">
        <v>192</v>
      </c>
      <c r="X42" s="251"/>
      <c r="Y42" s="252"/>
      <c r="Z42" s="252"/>
      <c r="AA42" s="252"/>
      <c r="AB42" s="253"/>
      <c r="AD42" s="4"/>
      <c r="AE42" s="39" t="s">
        <v>118</v>
      </c>
      <c r="AF42" s="40" t="s">
        <v>119</v>
      </c>
      <c r="AG42" s="255" t="s">
        <v>188</v>
      </c>
      <c r="AH42" s="251" t="s">
        <v>189</v>
      </c>
      <c r="AI42" s="251" t="s">
        <v>190</v>
      </c>
      <c r="AJ42" s="251" t="s">
        <v>191</v>
      </c>
      <c r="AK42" s="251" t="s">
        <v>94</v>
      </c>
      <c r="AL42" s="251" t="s">
        <v>192</v>
      </c>
      <c r="AM42" s="251"/>
      <c r="AN42" s="252"/>
      <c r="AO42" s="252"/>
      <c r="AP42" s="252"/>
      <c r="AQ42" s="253"/>
    </row>
    <row r="43" spans="1:43" ht="12">
      <c r="A43" s="4"/>
      <c r="B43" s="105" t="s">
        <v>144</v>
      </c>
      <c r="C43" s="106" t="s">
        <v>140</v>
      </c>
      <c r="D43" s="244">
        <v>0.039</v>
      </c>
      <c r="E43" s="250">
        <v>0.0178</v>
      </c>
      <c r="F43" s="245">
        <v>0.0075</v>
      </c>
      <c r="G43" s="250">
        <v>0.011</v>
      </c>
      <c r="H43" s="250">
        <v>0.0071</v>
      </c>
      <c r="I43" s="257">
        <f aca="true" t="shared" si="3" ref="I43:I58">SUM(D43:H43)</f>
        <v>0.08239999999999999</v>
      </c>
      <c r="J43" s="250"/>
      <c r="K43" s="51"/>
      <c r="L43" s="54"/>
      <c r="M43" s="53"/>
      <c r="N43" s="55"/>
      <c r="O43" s="4"/>
      <c r="P43" s="105" t="s">
        <v>144</v>
      </c>
      <c r="Q43" s="106" t="s">
        <v>140</v>
      </c>
      <c r="R43" s="244">
        <v>0.039</v>
      </c>
      <c r="S43" s="250">
        <v>0.0178</v>
      </c>
      <c r="T43" s="245">
        <v>0.0075</v>
      </c>
      <c r="U43" s="250">
        <v>0.011</v>
      </c>
      <c r="V43" s="250">
        <v>0.0071</v>
      </c>
      <c r="W43" s="257">
        <f aca="true" t="shared" si="4" ref="W43:W58">SUM(R43:V43)</f>
        <v>0.08239999999999999</v>
      </c>
      <c r="X43" s="250"/>
      <c r="Y43" s="51"/>
      <c r="Z43" s="54"/>
      <c r="AA43" s="53"/>
      <c r="AB43" s="55"/>
      <c r="AD43" s="4"/>
      <c r="AE43" s="105" t="s">
        <v>144</v>
      </c>
      <c r="AF43" s="106" t="s">
        <v>140</v>
      </c>
      <c r="AG43" s="244">
        <v>0.039</v>
      </c>
      <c r="AH43" s="250">
        <v>0.0178</v>
      </c>
      <c r="AI43" s="245">
        <v>0.0075</v>
      </c>
      <c r="AJ43" s="250">
        <v>0.011</v>
      </c>
      <c r="AK43" s="250">
        <v>0.0071</v>
      </c>
      <c r="AL43" s="257">
        <f aca="true" t="shared" si="5" ref="AL43:AL58">SUM(AG43:AK43)</f>
        <v>0.08239999999999999</v>
      </c>
      <c r="AM43" s="250"/>
      <c r="AN43" s="51"/>
      <c r="AO43" s="54"/>
      <c r="AP43" s="53"/>
      <c r="AQ43" s="55"/>
    </row>
    <row r="44" spans="1:43" ht="12">
      <c r="A44" s="4"/>
      <c r="B44" s="48"/>
      <c r="C44" s="107" t="s">
        <v>141</v>
      </c>
      <c r="D44" s="248">
        <v>0.039</v>
      </c>
      <c r="E44" s="254">
        <v>0.0178</v>
      </c>
      <c r="F44" s="246">
        <v>0.0075</v>
      </c>
      <c r="G44" s="254">
        <v>0.011</v>
      </c>
      <c r="H44" s="254">
        <f>H43</f>
        <v>0.0071</v>
      </c>
      <c r="I44" s="258">
        <f t="shared" si="3"/>
        <v>0.08239999999999999</v>
      </c>
      <c r="J44" s="254"/>
      <c r="K44" s="57"/>
      <c r="L44" s="60"/>
      <c r="M44" s="59"/>
      <c r="N44" s="61"/>
      <c r="O44" s="4"/>
      <c r="P44" s="48"/>
      <c r="Q44" s="107" t="s">
        <v>141</v>
      </c>
      <c r="R44" s="248">
        <v>0.039</v>
      </c>
      <c r="S44" s="254">
        <v>0.0178</v>
      </c>
      <c r="T44" s="246">
        <v>0.0075</v>
      </c>
      <c r="U44" s="254">
        <v>0.011</v>
      </c>
      <c r="V44" s="254">
        <f>V43</f>
        <v>0.0071</v>
      </c>
      <c r="W44" s="258">
        <f t="shared" si="4"/>
        <v>0.08239999999999999</v>
      </c>
      <c r="X44" s="254"/>
      <c r="Y44" s="57"/>
      <c r="Z44" s="60"/>
      <c r="AA44" s="59"/>
      <c r="AB44" s="61"/>
      <c r="AD44" s="4"/>
      <c r="AE44" s="48"/>
      <c r="AF44" s="107" t="s">
        <v>141</v>
      </c>
      <c r="AG44" s="248">
        <v>0.039</v>
      </c>
      <c r="AH44" s="254">
        <v>0.0178</v>
      </c>
      <c r="AI44" s="246">
        <v>0.0075</v>
      </c>
      <c r="AJ44" s="254">
        <v>0.011</v>
      </c>
      <c r="AK44" s="254">
        <f>AK43</f>
        <v>0.0071</v>
      </c>
      <c r="AL44" s="258">
        <f t="shared" si="5"/>
        <v>0.08239999999999999</v>
      </c>
      <c r="AM44" s="254"/>
      <c r="AN44" s="57"/>
      <c r="AO44" s="60"/>
      <c r="AP44" s="59"/>
      <c r="AQ44" s="61"/>
    </row>
    <row r="45" spans="1:43" ht="12">
      <c r="A45" s="4"/>
      <c r="B45" s="48"/>
      <c r="C45" s="107" t="s">
        <v>142</v>
      </c>
      <c r="D45" s="248">
        <v>0.035</v>
      </c>
      <c r="E45" s="254">
        <v>0.018</v>
      </c>
      <c r="F45" s="246">
        <v>0.0065</v>
      </c>
      <c r="G45" s="254">
        <v>0.01</v>
      </c>
      <c r="H45" s="254">
        <f>H44</f>
        <v>0.0071</v>
      </c>
      <c r="I45" s="258">
        <f t="shared" si="3"/>
        <v>0.0766</v>
      </c>
      <c r="J45" s="254"/>
      <c r="K45" s="57"/>
      <c r="L45" s="60"/>
      <c r="M45" s="59"/>
      <c r="N45" s="61"/>
      <c r="O45" s="4"/>
      <c r="P45" s="48"/>
      <c r="Q45" s="107" t="s">
        <v>142</v>
      </c>
      <c r="R45" s="248">
        <v>0.035</v>
      </c>
      <c r="S45" s="254">
        <v>0.018</v>
      </c>
      <c r="T45" s="246">
        <v>0.0065</v>
      </c>
      <c r="U45" s="254">
        <v>0.01</v>
      </c>
      <c r="V45" s="254">
        <f>V44</f>
        <v>0.0071</v>
      </c>
      <c r="W45" s="258">
        <f t="shared" si="4"/>
        <v>0.0766</v>
      </c>
      <c r="X45" s="254"/>
      <c r="Y45" s="57"/>
      <c r="Z45" s="60"/>
      <c r="AA45" s="59"/>
      <c r="AB45" s="61"/>
      <c r="AD45" s="4"/>
      <c r="AE45" s="48"/>
      <c r="AF45" s="107" t="s">
        <v>142</v>
      </c>
      <c r="AG45" s="248">
        <v>0.035</v>
      </c>
      <c r="AH45" s="254">
        <v>0.018</v>
      </c>
      <c r="AI45" s="246">
        <v>0.0065</v>
      </c>
      <c r="AJ45" s="254">
        <v>0.01</v>
      </c>
      <c r="AK45" s="254">
        <f>AK44</f>
        <v>0.0071</v>
      </c>
      <c r="AL45" s="258">
        <f t="shared" si="5"/>
        <v>0.0766</v>
      </c>
      <c r="AM45" s="254"/>
      <c r="AN45" s="57"/>
      <c r="AO45" s="60"/>
      <c r="AP45" s="59"/>
      <c r="AQ45" s="61"/>
    </row>
    <row r="46" spans="1:43" ht="12.75" thickBot="1">
      <c r="A46" s="4"/>
      <c r="B46" s="62"/>
      <c r="C46" s="107" t="s">
        <v>143</v>
      </c>
      <c r="D46" s="248">
        <v>0.035</v>
      </c>
      <c r="E46" s="254">
        <v>0.018</v>
      </c>
      <c r="F46" s="246">
        <v>0.0065</v>
      </c>
      <c r="G46" s="254">
        <v>0.01</v>
      </c>
      <c r="H46" s="254">
        <f>H45</f>
        <v>0.0071</v>
      </c>
      <c r="I46" s="258">
        <f t="shared" si="3"/>
        <v>0.0766</v>
      </c>
      <c r="J46" s="256"/>
      <c r="K46" s="64"/>
      <c r="L46" s="67"/>
      <c r="M46" s="66"/>
      <c r="N46" s="68"/>
      <c r="O46" s="4"/>
      <c r="P46" s="62"/>
      <c r="Q46" s="107" t="s">
        <v>143</v>
      </c>
      <c r="R46" s="248">
        <v>0.035</v>
      </c>
      <c r="S46" s="254">
        <v>0.018</v>
      </c>
      <c r="T46" s="246">
        <v>0.0065</v>
      </c>
      <c r="U46" s="254">
        <v>0.01</v>
      </c>
      <c r="V46" s="254">
        <f>V45</f>
        <v>0.0071</v>
      </c>
      <c r="W46" s="258">
        <f t="shared" si="4"/>
        <v>0.0766</v>
      </c>
      <c r="X46" s="256"/>
      <c r="Y46" s="64"/>
      <c r="Z46" s="67"/>
      <c r="AA46" s="66"/>
      <c r="AB46" s="68"/>
      <c r="AD46" s="4"/>
      <c r="AE46" s="62"/>
      <c r="AF46" s="107" t="s">
        <v>143</v>
      </c>
      <c r="AG46" s="248">
        <v>0.035</v>
      </c>
      <c r="AH46" s="254">
        <v>0.018</v>
      </c>
      <c r="AI46" s="246">
        <v>0.0065</v>
      </c>
      <c r="AJ46" s="254">
        <v>0.01</v>
      </c>
      <c r="AK46" s="254">
        <f>AK45</f>
        <v>0.0071</v>
      </c>
      <c r="AL46" s="258">
        <f t="shared" si="5"/>
        <v>0.0766</v>
      </c>
      <c r="AM46" s="256"/>
      <c r="AN46" s="64"/>
      <c r="AO46" s="67"/>
      <c r="AP46" s="66"/>
      <c r="AQ46" s="68"/>
    </row>
    <row r="47" spans="1:43" ht="12">
      <c r="A47" s="4"/>
      <c r="B47" s="105" t="s">
        <v>129</v>
      </c>
      <c r="C47" s="106" t="s">
        <v>140</v>
      </c>
      <c r="D47" s="244">
        <v>0.039</v>
      </c>
      <c r="E47" s="250">
        <v>0.0178</v>
      </c>
      <c r="F47" s="245">
        <v>0.0075</v>
      </c>
      <c r="G47" s="250">
        <v>0.011</v>
      </c>
      <c r="H47" s="250">
        <v>0.0071</v>
      </c>
      <c r="I47" s="257">
        <f t="shared" si="3"/>
        <v>0.08239999999999999</v>
      </c>
      <c r="J47" s="250"/>
      <c r="K47" s="57"/>
      <c r="L47" s="60"/>
      <c r="M47" s="59"/>
      <c r="N47" s="61"/>
      <c r="O47" s="4"/>
      <c r="P47" s="105" t="s">
        <v>129</v>
      </c>
      <c r="Q47" s="106" t="s">
        <v>140</v>
      </c>
      <c r="R47" s="244">
        <v>0.039</v>
      </c>
      <c r="S47" s="250">
        <v>0.0178</v>
      </c>
      <c r="T47" s="245">
        <v>0.0075</v>
      </c>
      <c r="U47" s="250">
        <v>0.011</v>
      </c>
      <c r="V47" s="250">
        <v>0.0071</v>
      </c>
      <c r="W47" s="257">
        <f t="shared" si="4"/>
        <v>0.08239999999999999</v>
      </c>
      <c r="X47" s="250"/>
      <c r="Y47" s="57"/>
      <c r="Z47" s="60"/>
      <c r="AA47" s="59"/>
      <c r="AB47" s="61"/>
      <c r="AD47" s="4"/>
      <c r="AE47" s="105" t="s">
        <v>129</v>
      </c>
      <c r="AF47" s="106" t="s">
        <v>140</v>
      </c>
      <c r="AG47" s="244">
        <v>0.039</v>
      </c>
      <c r="AH47" s="250">
        <v>0.0178</v>
      </c>
      <c r="AI47" s="245">
        <v>0.0075</v>
      </c>
      <c r="AJ47" s="250">
        <v>0.011</v>
      </c>
      <c r="AK47" s="250">
        <v>0.0071</v>
      </c>
      <c r="AL47" s="257">
        <f t="shared" si="5"/>
        <v>0.08239999999999999</v>
      </c>
      <c r="AM47" s="250"/>
      <c r="AN47" s="57"/>
      <c r="AO47" s="60"/>
      <c r="AP47" s="59"/>
      <c r="AQ47" s="61"/>
    </row>
    <row r="48" spans="1:43" ht="12">
      <c r="A48" s="4"/>
      <c r="B48" s="48"/>
      <c r="C48" s="107" t="s">
        <v>141</v>
      </c>
      <c r="D48" s="248">
        <v>0.039</v>
      </c>
      <c r="E48" s="254">
        <v>0.0178</v>
      </c>
      <c r="F48" s="246">
        <v>0.0075</v>
      </c>
      <c r="G48" s="254">
        <v>0.011</v>
      </c>
      <c r="H48" s="254">
        <f>H47</f>
        <v>0.0071</v>
      </c>
      <c r="I48" s="258">
        <f t="shared" si="3"/>
        <v>0.08239999999999999</v>
      </c>
      <c r="J48" s="254"/>
      <c r="K48" s="57"/>
      <c r="L48" s="60"/>
      <c r="M48" s="59"/>
      <c r="N48" s="61"/>
      <c r="O48" s="4"/>
      <c r="P48" s="48"/>
      <c r="Q48" s="107" t="s">
        <v>141</v>
      </c>
      <c r="R48" s="248">
        <v>0.039</v>
      </c>
      <c r="S48" s="254">
        <v>0.0178</v>
      </c>
      <c r="T48" s="246">
        <v>0.0075</v>
      </c>
      <c r="U48" s="254">
        <v>0.011</v>
      </c>
      <c r="V48" s="254">
        <f>V47</f>
        <v>0.0071</v>
      </c>
      <c r="W48" s="258">
        <f t="shared" si="4"/>
        <v>0.08239999999999999</v>
      </c>
      <c r="X48" s="254"/>
      <c r="Y48" s="57"/>
      <c r="Z48" s="60"/>
      <c r="AA48" s="59"/>
      <c r="AB48" s="61"/>
      <c r="AD48" s="4"/>
      <c r="AE48" s="48"/>
      <c r="AF48" s="107" t="s">
        <v>141</v>
      </c>
      <c r="AG48" s="248">
        <v>0.039</v>
      </c>
      <c r="AH48" s="254">
        <v>0.0178</v>
      </c>
      <c r="AI48" s="246">
        <v>0.0075</v>
      </c>
      <c r="AJ48" s="254">
        <v>0.011</v>
      </c>
      <c r="AK48" s="254">
        <f>AK47</f>
        <v>0.0071</v>
      </c>
      <c r="AL48" s="258">
        <f t="shared" si="5"/>
        <v>0.08239999999999999</v>
      </c>
      <c r="AM48" s="254"/>
      <c r="AN48" s="57"/>
      <c r="AO48" s="60"/>
      <c r="AP48" s="59"/>
      <c r="AQ48" s="61"/>
    </row>
    <row r="49" spans="1:43" ht="12">
      <c r="A49" s="4"/>
      <c r="B49" s="48"/>
      <c r="C49" s="107" t="s">
        <v>142</v>
      </c>
      <c r="D49" s="248">
        <v>0.035</v>
      </c>
      <c r="E49" s="254">
        <v>0.018</v>
      </c>
      <c r="F49" s="246">
        <v>0.0075</v>
      </c>
      <c r="G49" s="254">
        <v>0.01</v>
      </c>
      <c r="H49" s="254">
        <f>H48</f>
        <v>0.0071</v>
      </c>
      <c r="I49" s="258">
        <f t="shared" si="3"/>
        <v>0.0776</v>
      </c>
      <c r="J49" s="254"/>
      <c r="K49" s="57"/>
      <c r="L49" s="60"/>
      <c r="M49" s="59"/>
      <c r="N49" s="61"/>
      <c r="O49" s="4"/>
      <c r="P49" s="48"/>
      <c r="Q49" s="107" t="s">
        <v>142</v>
      </c>
      <c r="R49" s="248">
        <v>0.035</v>
      </c>
      <c r="S49" s="254">
        <v>0.018</v>
      </c>
      <c r="T49" s="246">
        <v>0.0075</v>
      </c>
      <c r="U49" s="254">
        <v>0.01</v>
      </c>
      <c r="V49" s="254">
        <f>V48</f>
        <v>0.0071</v>
      </c>
      <c r="W49" s="258">
        <f t="shared" si="4"/>
        <v>0.0776</v>
      </c>
      <c r="X49" s="254"/>
      <c r="Y49" s="57"/>
      <c r="Z49" s="60"/>
      <c r="AA49" s="59"/>
      <c r="AB49" s="61"/>
      <c r="AD49" s="4"/>
      <c r="AE49" s="48"/>
      <c r="AF49" s="107" t="s">
        <v>142</v>
      </c>
      <c r="AG49" s="248">
        <v>0.035</v>
      </c>
      <c r="AH49" s="254">
        <v>0.018</v>
      </c>
      <c r="AI49" s="246">
        <v>0.0075</v>
      </c>
      <c r="AJ49" s="254">
        <v>0.01</v>
      </c>
      <c r="AK49" s="254">
        <f>AK48</f>
        <v>0.0071</v>
      </c>
      <c r="AL49" s="258">
        <f t="shared" si="5"/>
        <v>0.0776</v>
      </c>
      <c r="AM49" s="254"/>
      <c r="AN49" s="57"/>
      <c r="AO49" s="60"/>
      <c r="AP49" s="59"/>
      <c r="AQ49" s="61"/>
    </row>
    <row r="50" spans="1:43" ht="12.75" thickBot="1">
      <c r="A50" s="4"/>
      <c r="B50" s="62"/>
      <c r="C50" s="108" t="s">
        <v>143</v>
      </c>
      <c r="D50" s="248">
        <v>0.035</v>
      </c>
      <c r="E50" s="254">
        <v>0.018</v>
      </c>
      <c r="F50" s="246">
        <v>0.0075</v>
      </c>
      <c r="G50" s="254">
        <v>0.01</v>
      </c>
      <c r="H50" s="254">
        <f>H49</f>
        <v>0.0071</v>
      </c>
      <c r="I50" s="258">
        <f t="shared" si="3"/>
        <v>0.0776</v>
      </c>
      <c r="J50" s="256"/>
      <c r="K50" s="64"/>
      <c r="L50" s="67"/>
      <c r="M50" s="66"/>
      <c r="N50" s="68"/>
      <c r="O50" s="4"/>
      <c r="P50" s="62"/>
      <c r="Q50" s="108" t="s">
        <v>143</v>
      </c>
      <c r="R50" s="248">
        <v>0.035</v>
      </c>
      <c r="S50" s="254">
        <v>0.018</v>
      </c>
      <c r="T50" s="246">
        <v>0.0075</v>
      </c>
      <c r="U50" s="254">
        <v>0.01</v>
      </c>
      <c r="V50" s="254">
        <f>V49</f>
        <v>0.0071</v>
      </c>
      <c r="W50" s="258">
        <f t="shared" si="4"/>
        <v>0.0776</v>
      </c>
      <c r="X50" s="256"/>
      <c r="Y50" s="64"/>
      <c r="Z50" s="67"/>
      <c r="AA50" s="66"/>
      <c r="AB50" s="68"/>
      <c r="AD50" s="4"/>
      <c r="AE50" s="62"/>
      <c r="AF50" s="108" t="s">
        <v>143</v>
      </c>
      <c r="AG50" s="248">
        <v>0.035</v>
      </c>
      <c r="AH50" s="254">
        <v>0.018</v>
      </c>
      <c r="AI50" s="246">
        <v>0.0075</v>
      </c>
      <c r="AJ50" s="254">
        <v>0.01</v>
      </c>
      <c r="AK50" s="254">
        <f>AK49</f>
        <v>0.0071</v>
      </c>
      <c r="AL50" s="258">
        <f t="shared" si="5"/>
        <v>0.0776</v>
      </c>
      <c r="AM50" s="256"/>
      <c r="AN50" s="64"/>
      <c r="AO50" s="67"/>
      <c r="AP50" s="66"/>
      <c r="AQ50" s="68"/>
    </row>
    <row r="51" spans="1:43" ht="12">
      <c r="A51" s="4"/>
      <c r="B51" s="105" t="s">
        <v>145</v>
      </c>
      <c r="C51" s="106" t="s">
        <v>140</v>
      </c>
      <c r="D51" s="244">
        <v>0.039</v>
      </c>
      <c r="E51" s="250">
        <v>0.0178</v>
      </c>
      <c r="F51" s="245">
        <v>0.0075</v>
      </c>
      <c r="G51" s="250">
        <v>0.0095</v>
      </c>
      <c r="H51" s="250">
        <v>0.0068</v>
      </c>
      <c r="I51" s="257">
        <f t="shared" si="3"/>
        <v>0.08059999999999999</v>
      </c>
      <c r="J51" s="250"/>
      <c r="K51" s="57"/>
      <c r="L51" s="60"/>
      <c r="M51" s="59"/>
      <c r="N51" s="61"/>
      <c r="O51" s="4"/>
      <c r="P51" s="105" t="s">
        <v>145</v>
      </c>
      <c r="Q51" s="106" t="s">
        <v>140</v>
      </c>
      <c r="R51" s="244">
        <v>0.039</v>
      </c>
      <c r="S51" s="250">
        <v>0.0178</v>
      </c>
      <c r="T51" s="245">
        <v>0.0075</v>
      </c>
      <c r="U51" s="250">
        <v>0.0095</v>
      </c>
      <c r="V51" s="250">
        <v>0.0068</v>
      </c>
      <c r="W51" s="257">
        <f t="shared" si="4"/>
        <v>0.08059999999999999</v>
      </c>
      <c r="X51" s="250"/>
      <c r="Y51" s="57"/>
      <c r="Z51" s="60"/>
      <c r="AA51" s="59"/>
      <c r="AB51" s="61"/>
      <c r="AD51" s="4"/>
      <c r="AE51" s="105" t="s">
        <v>145</v>
      </c>
      <c r="AF51" s="106" t="s">
        <v>140</v>
      </c>
      <c r="AG51" s="244">
        <v>0.039</v>
      </c>
      <c r="AH51" s="250">
        <v>0.0178</v>
      </c>
      <c r="AI51" s="245">
        <v>0.0075</v>
      </c>
      <c r="AJ51" s="250">
        <v>0.0095</v>
      </c>
      <c r="AK51" s="250">
        <v>0.0068</v>
      </c>
      <c r="AL51" s="257">
        <f t="shared" si="5"/>
        <v>0.08059999999999999</v>
      </c>
      <c r="AM51" s="250"/>
      <c r="AN51" s="57"/>
      <c r="AO51" s="60"/>
      <c r="AP51" s="59"/>
      <c r="AQ51" s="61"/>
    </row>
    <row r="52" spans="1:43" ht="12">
      <c r="A52" s="4"/>
      <c r="B52" s="48"/>
      <c r="C52" s="107" t="s">
        <v>141</v>
      </c>
      <c r="D52" s="248">
        <v>0.039</v>
      </c>
      <c r="E52" s="254">
        <v>0.0178</v>
      </c>
      <c r="F52" s="246">
        <v>0.0075</v>
      </c>
      <c r="G52" s="254">
        <v>0.0095</v>
      </c>
      <c r="H52" s="254">
        <f>H51</f>
        <v>0.0068</v>
      </c>
      <c r="I52" s="258">
        <f t="shared" si="3"/>
        <v>0.08059999999999999</v>
      </c>
      <c r="J52" s="254"/>
      <c r="K52" s="57"/>
      <c r="L52" s="60"/>
      <c r="M52" s="59"/>
      <c r="N52" s="61"/>
      <c r="O52" s="4"/>
      <c r="P52" s="48"/>
      <c r="Q52" s="107" t="s">
        <v>141</v>
      </c>
      <c r="R52" s="248">
        <v>0.039</v>
      </c>
      <c r="S52" s="254">
        <v>0.0178</v>
      </c>
      <c r="T52" s="246">
        <v>0.0075</v>
      </c>
      <c r="U52" s="254">
        <v>0.0095</v>
      </c>
      <c r="V52" s="254">
        <f>V51</f>
        <v>0.0068</v>
      </c>
      <c r="W52" s="258">
        <f t="shared" si="4"/>
        <v>0.08059999999999999</v>
      </c>
      <c r="X52" s="254"/>
      <c r="Y52" s="57"/>
      <c r="Z52" s="60"/>
      <c r="AA52" s="59"/>
      <c r="AB52" s="61"/>
      <c r="AD52" s="4"/>
      <c r="AE52" s="48"/>
      <c r="AF52" s="107" t="s">
        <v>141</v>
      </c>
      <c r="AG52" s="248">
        <v>0.039</v>
      </c>
      <c r="AH52" s="254">
        <v>0.0178</v>
      </c>
      <c r="AI52" s="246">
        <v>0.0075</v>
      </c>
      <c r="AJ52" s="254">
        <v>0.0095</v>
      </c>
      <c r="AK52" s="254">
        <f>AK51</f>
        <v>0.0068</v>
      </c>
      <c r="AL52" s="258">
        <f t="shared" si="5"/>
        <v>0.08059999999999999</v>
      </c>
      <c r="AM52" s="254"/>
      <c r="AN52" s="57"/>
      <c r="AO52" s="60"/>
      <c r="AP52" s="59"/>
      <c r="AQ52" s="61"/>
    </row>
    <row r="53" spans="1:43" ht="12">
      <c r="A53" s="4"/>
      <c r="B53" s="48"/>
      <c r="C53" s="107" t="s">
        <v>142</v>
      </c>
      <c r="D53" s="248">
        <v>0.035</v>
      </c>
      <c r="E53" s="254">
        <v>0.018</v>
      </c>
      <c r="F53" s="246">
        <v>0.0075</v>
      </c>
      <c r="G53" s="254">
        <v>0.0095</v>
      </c>
      <c r="H53" s="254">
        <f>H52</f>
        <v>0.0068</v>
      </c>
      <c r="I53" s="258">
        <f t="shared" si="3"/>
        <v>0.07680000000000001</v>
      </c>
      <c r="J53" s="254"/>
      <c r="K53" s="57"/>
      <c r="L53" s="60"/>
      <c r="M53" s="59"/>
      <c r="N53" s="61"/>
      <c r="O53" s="4"/>
      <c r="P53" s="48"/>
      <c r="Q53" s="107" t="s">
        <v>142</v>
      </c>
      <c r="R53" s="248">
        <v>0.035</v>
      </c>
      <c r="S53" s="254">
        <v>0.018</v>
      </c>
      <c r="T53" s="246">
        <v>0.0075</v>
      </c>
      <c r="U53" s="254">
        <v>0.0095</v>
      </c>
      <c r="V53" s="254">
        <f>V52</f>
        <v>0.0068</v>
      </c>
      <c r="W53" s="258">
        <f t="shared" si="4"/>
        <v>0.07680000000000001</v>
      </c>
      <c r="X53" s="254"/>
      <c r="Y53" s="57"/>
      <c r="Z53" s="60"/>
      <c r="AA53" s="59"/>
      <c r="AB53" s="61"/>
      <c r="AD53" s="4"/>
      <c r="AE53" s="48"/>
      <c r="AF53" s="107" t="s">
        <v>142</v>
      </c>
      <c r="AG53" s="248">
        <v>0.035</v>
      </c>
      <c r="AH53" s="254">
        <v>0.018</v>
      </c>
      <c r="AI53" s="246">
        <v>0.0075</v>
      </c>
      <c r="AJ53" s="254">
        <v>0.0095</v>
      </c>
      <c r="AK53" s="254">
        <f>AK52</f>
        <v>0.0068</v>
      </c>
      <c r="AL53" s="258">
        <f t="shared" si="5"/>
        <v>0.07680000000000001</v>
      </c>
      <c r="AM53" s="254"/>
      <c r="AN53" s="57"/>
      <c r="AO53" s="60"/>
      <c r="AP53" s="59"/>
      <c r="AQ53" s="61"/>
    </row>
    <row r="54" spans="1:43" ht="12.75" thickBot="1">
      <c r="A54" s="4"/>
      <c r="B54" s="62"/>
      <c r="C54" s="108" t="s">
        <v>143</v>
      </c>
      <c r="D54" s="248">
        <v>0.035</v>
      </c>
      <c r="E54" s="254">
        <v>0.018</v>
      </c>
      <c r="F54" s="246">
        <v>0.0075</v>
      </c>
      <c r="G54" s="254">
        <v>0.0095</v>
      </c>
      <c r="H54" s="254">
        <f>H53</f>
        <v>0.0068</v>
      </c>
      <c r="I54" s="258">
        <f t="shared" si="3"/>
        <v>0.07680000000000001</v>
      </c>
      <c r="J54" s="256"/>
      <c r="K54" s="57"/>
      <c r="L54" s="60"/>
      <c r="M54" s="59"/>
      <c r="N54" s="61"/>
      <c r="O54" s="4"/>
      <c r="P54" s="62"/>
      <c r="Q54" s="108" t="s">
        <v>143</v>
      </c>
      <c r="R54" s="248">
        <v>0.035</v>
      </c>
      <c r="S54" s="254">
        <v>0.018</v>
      </c>
      <c r="T54" s="246">
        <v>0.0075</v>
      </c>
      <c r="U54" s="254">
        <v>0.0095</v>
      </c>
      <c r="V54" s="254">
        <f>V53</f>
        <v>0.0068</v>
      </c>
      <c r="W54" s="258">
        <f t="shared" si="4"/>
        <v>0.07680000000000001</v>
      </c>
      <c r="X54" s="256"/>
      <c r="Y54" s="57"/>
      <c r="Z54" s="60"/>
      <c r="AA54" s="59"/>
      <c r="AB54" s="61"/>
      <c r="AD54" s="4"/>
      <c r="AE54" s="62"/>
      <c r="AF54" s="108" t="s">
        <v>143</v>
      </c>
      <c r="AG54" s="248">
        <v>0.035</v>
      </c>
      <c r="AH54" s="254">
        <v>0.018</v>
      </c>
      <c r="AI54" s="246">
        <v>0.0075</v>
      </c>
      <c r="AJ54" s="254">
        <v>0.0095</v>
      </c>
      <c r="AK54" s="254">
        <f>AK53</f>
        <v>0.0068</v>
      </c>
      <c r="AL54" s="258">
        <f t="shared" si="5"/>
        <v>0.07680000000000001</v>
      </c>
      <c r="AM54" s="256"/>
      <c r="AN54" s="57"/>
      <c r="AO54" s="60"/>
      <c r="AP54" s="59"/>
      <c r="AQ54" s="61"/>
    </row>
    <row r="55" spans="1:43" ht="12">
      <c r="A55" s="4"/>
      <c r="B55" s="105" t="s">
        <v>146</v>
      </c>
      <c r="C55" s="107" t="s">
        <v>140</v>
      </c>
      <c r="D55" s="244">
        <v>0.039</v>
      </c>
      <c r="E55" s="250">
        <v>0.0178</v>
      </c>
      <c r="F55" s="245">
        <v>0.0075</v>
      </c>
      <c r="G55" s="250">
        <v>0.0095</v>
      </c>
      <c r="H55" s="250">
        <v>0.0068</v>
      </c>
      <c r="I55" s="257">
        <f t="shared" si="3"/>
        <v>0.08059999999999999</v>
      </c>
      <c r="J55" s="250"/>
      <c r="K55" s="51"/>
      <c r="L55" s="54"/>
      <c r="M55" s="53"/>
      <c r="N55" s="55"/>
      <c r="O55" s="4"/>
      <c r="P55" s="105" t="s">
        <v>146</v>
      </c>
      <c r="Q55" s="107" t="s">
        <v>140</v>
      </c>
      <c r="R55" s="244">
        <v>0.039</v>
      </c>
      <c r="S55" s="250">
        <v>0.0178</v>
      </c>
      <c r="T55" s="245">
        <v>0.0075</v>
      </c>
      <c r="U55" s="250">
        <v>0.0095</v>
      </c>
      <c r="V55" s="250">
        <v>0.0068</v>
      </c>
      <c r="W55" s="257">
        <f t="shared" si="4"/>
        <v>0.08059999999999999</v>
      </c>
      <c r="X55" s="250"/>
      <c r="Y55" s="51"/>
      <c r="Z55" s="54"/>
      <c r="AA55" s="53"/>
      <c r="AB55" s="55"/>
      <c r="AD55" s="4"/>
      <c r="AE55" s="105" t="s">
        <v>146</v>
      </c>
      <c r="AF55" s="107" t="s">
        <v>140</v>
      </c>
      <c r="AG55" s="244">
        <v>0.039</v>
      </c>
      <c r="AH55" s="250">
        <v>0.0178</v>
      </c>
      <c r="AI55" s="245">
        <v>0.0075</v>
      </c>
      <c r="AJ55" s="250">
        <v>0.0095</v>
      </c>
      <c r="AK55" s="250">
        <v>0.0068</v>
      </c>
      <c r="AL55" s="257">
        <f t="shared" si="5"/>
        <v>0.08059999999999999</v>
      </c>
      <c r="AM55" s="250"/>
      <c r="AN55" s="51"/>
      <c r="AO55" s="54"/>
      <c r="AP55" s="53"/>
      <c r="AQ55" s="55"/>
    </row>
    <row r="56" spans="1:43" ht="12">
      <c r="A56" s="4"/>
      <c r="B56" s="48"/>
      <c r="C56" s="107" t="s">
        <v>141</v>
      </c>
      <c r="D56" s="248">
        <v>0.039</v>
      </c>
      <c r="E56" s="254">
        <v>0.0178</v>
      </c>
      <c r="F56" s="246">
        <v>0.0075</v>
      </c>
      <c r="G56" s="254">
        <v>0.0095</v>
      </c>
      <c r="H56" s="254">
        <f>H55</f>
        <v>0.0068</v>
      </c>
      <c r="I56" s="258">
        <f t="shared" si="3"/>
        <v>0.08059999999999999</v>
      </c>
      <c r="J56" s="254"/>
      <c r="K56" s="57"/>
      <c r="L56" s="60"/>
      <c r="M56" s="59"/>
      <c r="N56" s="61"/>
      <c r="O56" s="4"/>
      <c r="P56" s="48"/>
      <c r="Q56" s="107" t="s">
        <v>141</v>
      </c>
      <c r="R56" s="248">
        <v>0.039</v>
      </c>
      <c r="S56" s="254">
        <v>0.0178</v>
      </c>
      <c r="T56" s="246">
        <v>0.0075</v>
      </c>
      <c r="U56" s="254">
        <v>0.0095</v>
      </c>
      <c r="V56" s="254">
        <f>V55</f>
        <v>0.0068</v>
      </c>
      <c r="W56" s="258">
        <f t="shared" si="4"/>
        <v>0.08059999999999999</v>
      </c>
      <c r="X56" s="254"/>
      <c r="Y56" s="57"/>
      <c r="Z56" s="60"/>
      <c r="AA56" s="59"/>
      <c r="AB56" s="61"/>
      <c r="AD56" s="4"/>
      <c r="AE56" s="48"/>
      <c r="AF56" s="107" t="s">
        <v>141</v>
      </c>
      <c r="AG56" s="248">
        <v>0.039</v>
      </c>
      <c r="AH56" s="254">
        <v>0.0178</v>
      </c>
      <c r="AI56" s="246">
        <v>0.0075</v>
      </c>
      <c r="AJ56" s="254">
        <v>0.0095</v>
      </c>
      <c r="AK56" s="254">
        <f>AK55</f>
        <v>0.0068</v>
      </c>
      <c r="AL56" s="258">
        <f t="shared" si="5"/>
        <v>0.08059999999999999</v>
      </c>
      <c r="AM56" s="254"/>
      <c r="AN56" s="57"/>
      <c r="AO56" s="60"/>
      <c r="AP56" s="59"/>
      <c r="AQ56" s="61"/>
    </row>
    <row r="57" spans="1:43" ht="12">
      <c r="A57" s="4"/>
      <c r="B57" s="48"/>
      <c r="C57" s="107" t="s">
        <v>142</v>
      </c>
      <c r="D57" s="248">
        <v>0.035</v>
      </c>
      <c r="E57" s="254">
        <v>0.018</v>
      </c>
      <c r="F57" s="246">
        <v>0.0075</v>
      </c>
      <c r="G57" s="254">
        <v>0.0095</v>
      </c>
      <c r="H57" s="254">
        <f>H56</f>
        <v>0.0068</v>
      </c>
      <c r="I57" s="258">
        <f t="shared" si="3"/>
        <v>0.07680000000000001</v>
      </c>
      <c r="J57" s="254"/>
      <c r="K57" s="57"/>
      <c r="L57" s="60"/>
      <c r="M57" s="59"/>
      <c r="N57" s="61"/>
      <c r="O57" s="4"/>
      <c r="P57" s="48"/>
      <c r="Q57" s="107" t="s">
        <v>142</v>
      </c>
      <c r="R57" s="248">
        <v>0.035</v>
      </c>
      <c r="S57" s="254">
        <v>0.018</v>
      </c>
      <c r="T57" s="246">
        <v>0.0075</v>
      </c>
      <c r="U57" s="254">
        <v>0.0095</v>
      </c>
      <c r="V57" s="254">
        <f>V56</f>
        <v>0.0068</v>
      </c>
      <c r="W57" s="258">
        <f t="shared" si="4"/>
        <v>0.07680000000000001</v>
      </c>
      <c r="X57" s="254"/>
      <c r="Y57" s="57"/>
      <c r="Z57" s="60"/>
      <c r="AA57" s="59"/>
      <c r="AB57" s="61"/>
      <c r="AD57" s="4"/>
      <c r="AE57" s="48"/>
      <c r="AF57" s="107" t="s">
        <v>142</v>
      </c>
      <c r="AG57" s="248">
        <v>0.035</v>
      </c>
      <c r="AH57" s="254">
        <v>0.018</v>
      </c>
      <c r="AI57" s="246">
        <v>0.0075</v>
      </c>
      <c r="AJ57" s="254">
        <v>0.0095</v>
      </c>
      <c r="AK57" s="254">
        <f>AK56</f>
        <v>0.0068</v>
      </c>
      <c r="AL57" s="258">
        <f t="shared" si="5"/>
        <v>0.07680000000000001</v>
      </c>
      <c r="AM57" s="254"/>
      <c r="AN57" s="57"/>
      <c r="AO57" s="60"/>
      <c r="AP57" s="59"/>
      <c r="AQ57" s="61"/>
    </row>
    <row r="58" spans="1:43" ht="12.75" thickBot="1">
      <c r="A58" s="4"/>
      <c r="B58" s="62"/>
      <c r="C58" s="108" t="s">
        <v>143</v>
      </c>
      <c r="D58" s="249">
        <v>0.035</v>
      </c>
      <c r="E58" s="256">
        <v>0.018</v>
      </c>
      <c r="F58" s="247">
        <v>0.0075</v>
      </c>
      <c r="G58" s="256">
        <v>0.0095</v>
      </c>
      <c r="H58" s="256">
        <f>H57</f>
        <v>0.0068</v>
      </c>
      <c r="I58" s="259">
        <f t="shared" si="3"/>
        <v>0.07680000000000001</v>
      </c>
      <c r="J58" s="256"/>
      <c r="K58" s="64"/>
      <c r="L58" s="67"/>
      <c r="M58" s="66"/>
      <c r="N58" s="68"/>
      <c r="O58" s="4"/>
      <c r="P58" s="62"/>
      <c r="Q58" s="108" t="s">
        <v>143</v>
      </c>
      <c r="R58" s="249">
        <v>0.035</v>
      </c>
      <c r="S58" s="256">
        <v>0.018</v>
      </c>
      <c r="T58" s="247">
        <v>0.0075</v>
      </c>
      <c r="U58" s="256">
        <v>0.0095</v>
      </c>
      <c r="V58" s="256">
        <f>V57</f>
        <v>0.0068</v>
      </c>
      <c r="W58" s="259">
        <f t="shared" si="4"/>
        <v>0.07680000000000001</v>
      </c>
      <c r="X58" s="256"/>
      <c r="Y58" s="64"/>
      <c r="Z58" s="67"/>
      <c r="AA58" s="66"/>
      <c r="AB58" s="68"/>
      <c r="AD58" s="4"/>
      <c r="AE58" s="62"/>
      <c r="AF58" s="108" t="s">
        <v>143</v>
      </c>
      <c r="AG58" s="249">
        <v>0.035</v>
      </c>
      <c r="AH58" s="256">
        <v>0.018</v>
      </c>
      <c r="AI58" s="247">
        <v>0.0075</v>
      </c>
      <c r="AJ58" s="256">
        <v>0.0095</v>
      </c>
      <c r="AK58" s="256">
        <f>AK57</f>
        <v>0.0068</v>
      </c>
      <c r="AL58" s="259">
        <f t="shared" si="5"/>
        <v>0.07680000000000001</v>
      </c>
      <c r="AM58" s="256"/>
      <c r="AN58" s="64"/>
      <c r="AO58" s="67"/>
      <c r="AP58" s="66"/>
      <c r="AQ58" s="68"/>
    </row>
    <row r="59" spans="1:43" ht="12">
      <c r="A59" s="4"/>
      <c r="F59" s="4"/>
      <c r="G59" s="4"/>
      <c r="H59" s="4"/>
      <c r="I59" s="4"/>
      <c r="J59" s="4"/>
      <c r="K59" s="4"/>
      <c r="L59" s="4"/>
      <c r="M59" s="4"/>
      <c r="N59" s="4"/>
      <c r="O59" s="4"/>
      <c r="T59" s="4"/>
      <c r="U59" s="4"/>
      <c r="V59" s="4"/>
      <c r="W59" s="4"/>
      <c r="X59" s="4"/>
      <c r="Y59" s="4"/>
      <c r="Z59" s="4"/>
      <c r="AA59" s="4"/>
      <c r="AB59" s="4"/>
      <c r="AD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2">
      <c r="A60" s="4"/>
      <c r="F60" s="4"/>
      <c r="G60" s="4"/>
      <c r="H60" s="4"/>
      <c r="I60" s="4"/>
      <c r="J60" s="4"/>
      <c r="K60" s="4"/>
      <c r="L60" s="4"/>
      <c r="M60" s="4"/>
      <c r="N60" s="4"/>
      <c r="O60" s="4"/>
      <c r="T60" s="4"/>
      <c r="U60" s="4"/>
      <c r="V60" s="4"/>
      <c r="W60" s="4"/>
      <c r="X60" s="4"/>
      <c r="Y60" s="4"/>
      <c r="Z60" s="4"/>
      <c r="AA60" s="4"/>
      <c r="AB60" s="4"/>
      <c r="AD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2">
      <c r="A61" s="4"/>
      <c r="F61" s="4"/>
      <c r="G61" s="4"/>
      <c r="H61" s="4"/>
      <c r="I61" s="4"/>
      <c r="J61" s="4"/>
      <c r="K61" s="4"/>
      <c r="L61" s="4"/>
      <c r="M61" s="4"/>
      <c r="N61" s="4"/>
      <c r="O61" s="4"/>
      <c r="T61" s="4"/>
      <c r="U61" s="4"/>
      <c r="V61" s="4"/>
      <c r="W61" s="4"/>
      <c r="X61" s="4"/>
      <c r="Y61" s="4"/>
      <c r="Z61" s="4"/>
      <c r="AA61" s="4"/>
      <c r="AB61" s="4"/>
      <c r="AD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2">
      <c r="A62" s="4"/>
      <c r="F62" s="4"/>
      <c r="G62" s="4"/>
      <c r="H62" s="4"/>
      <c r="I62" s="4"/>
      <c r="J62" s="4"/>
      <c r="K62" s="4"/>
      <c r="L62" s="4"/>
      <c r="M62" s="4"/>
      <c r="N62" s="4"/>
      <c r="O62" s="4"/>
      <c r="T62" s="4"/>
      <c r="U62" s="4"/>
      <c r="V62" s="4"/>
      <c r="W62" s="4"/>
      <c r="X62" s="4"/>
      <c r="Y62" s="4"/>
      <c r="Z62" s="4"/>
      <c r="AA62" s="4"/>
      <c r="AB62" s="4"/>
      <c r="AD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2">
      <c r="A63" s="4"/>
      <c r="F63" s="4"/>
      <c r="G63" s="4"/>
      <c r="H63" s="4"/>
      <c r="I63" s="4"/>
      <c r="J63" s="4"/>
      <c r="K63" s="4"/>
      <c r="L63" s="4"/>
      <c r="M63" s="4"/>
      <c r="N63" s="4"/>
      <c r="O63" s="4"/>
      <c r="T63" s="4"/>
      <c r="U63" s="4"/>
      <c r="V63" s="4"/>
      <c r="W63" s="4"/>
      <c r="X63" s="4"/>
      <c r="Y63" s="4"/>
      <c r="Z63" s="4"/>
      <c r="AA63" s="4"/>
      <c r="AB63" s="4"/>
      <c r="AD63" s="4"/>
      <c r="AI63" s="4"/>
      <c r="AJ63" s="4"/>
      <c r="AK63" s="4"/>
      <c r="AL63" s="4"/>
      <c r="AM63" s="4"/>
      <c r="AN63" s="4"/>
      <c r="AO63" s="4"/>
      <c r="AP63" s="4"/>
      <c r="AQ63" s="4"/>
    </row>
  </sheetData>
  <sheetProtection/>
  <conditionalFormatting sqref="D24:D39">
    <cfRule type="expression" priority="29" dxfId="0" stopIfTrue="1">
      <formula>AND(#REF!=4,NOT(AND(#REF!&gt;-1,#REF!&lt;1)))</formula>
    </cfRule>
  </conditionalFormatting>
  <conditionalFormatting sqref="D43:D46 D51:D58">
    <cfRule type="expression" priority="26" dxfId="0" stopIfTrue="1">
      <formula>AND(#REF!=4,NOT(AND(#REF!&gt;-1,#REF!&lt;1)))</formula>
    </cfRule>
  </conditionalFormatting>
  <conditionalFormatting sqref="AG24:AG39">
    <cfRule type="expression" priority="27" dxfId="0" stopIfTrue="1">
      <formula>AND(#REF!=4,NOT(AND(#REF!&gt;-1,#REF!&lt;1)))</formula>
    </cfRule>
  </conditionalFormatting>
  <conditionalFormatting sqref="AG43:AG46 AG51:AG58">
    <cfRule type="expression" priority="10" dxfId="0" stopIfTrue="1">
      <formula>AND(#REF!=4,NOT(AND(#REF!&gt;-1,#REF!&lt;1)))</formula>
    </cfRule>
  </conditionalFormatting>
  <conditionalFormatting sqref="U43:U46 U51:U58">
    <cfRule type="expression" priority="16" dxfId="0" stopIfTrue="1">
      <formula>AND(#REF!=4,NOT(AND(#REF!&gt;-1,#REF!&lt;1)))</formula>
    </cfRule>
  </conditionalFormatting>
  <conditionalFormatting sqref="G43:G46 G51:G58">
    <cfRule type="expression" priority="23" dxfId="0" stopIfTrue="1">
      <formula>AND(#REF!=4,NOT(AND(#REF!&gt;-1,#REF!&lt;1)))</formula>
    </cfRule>
  </conditionalFormatting>
  <conditionalFormatting sqref="H43:H46 H51:H58">
    <cfRule type="expression" priority="22" dxfId="0" stopIfTrue="1">
      <formula>AND(#REF!=4,NOT(AND(#REF!&gt;-1,#REF!&lt;1)))</formula>
    </cfRule>
  </conditionalFormatting>
  <conditionalFormatting sqref="J43:J58">
    <cfRule type="expression" priority="21" dxfId="0" stopIfTrue="1">
      <formula>AND(#REF!=4,NOT(AND(#REF!&gt;-1,#REF!&lt;1)))</formula>
    </cfRule>
  </conditionalFormatting>
  <conditionalFormatting sqref="D47:D50">
    <cfRule type="expression" priority="20" dxfId="0" stopIfTrue="1">
      <formula>AND(#REF!=4,NOT(AND(#REF!&gt;-1,#REF!&lt;1)))</formula>
    </cfRule>
  </conditionalFormatting>
  <conditionalFormatting sqref="G47:G50">
    <cfRule type="expression" priority="19" dxfId="0" stopIfTrue="1">
      <formula>AND(#REF!=4,NOT(AND(#REF!&gt;-1,#REF!&lt;1)))</formula>
    </cfRule>
  </conditionalFormatting>
  <conditionalFormatting sqref="H47:H50">
    <cfRule type="expression" priority="18" dxfId="0" stopIfTrue="1">
      <formula>AND(#REF!=4,NOT(AND(#REF!&gt;-1,#REF!&lt;1)))</formula>
    </cfRule>
  </conditionalFormatting>
  <conditionalFormatting sqref="R43:R46 R51:R58">
    <cfRule type="expression" priority="17" dxfId="0" stopIfTrue="1">
      <formula>AND(#REF!=4,NOT(AND(#REF!&gt;-1,#REF!&lt;1)))</formula>
    </cfRule>
  </conditionalFormatting>
  <conditionalFormatting sqref="V43:V46 V51:V58">
    <cfRule type="expression" priority="15" dxfId="0" stopIfTrue="1">
      <formula>AND(#REF!=4,NOT(AND(#REF!&gt;-1,#REF!&lt;1)))</formula>
    </cfRule>
  </conditionalFormatting>
  <conditionalFormatting sqref="X43:X58">
    <cfRule type="expression" priority="14" dxfId="0" stopIfTrue="1">
      <formula>AND(#REF!=4,NOT(AND(#REF!&gt;-1,#REF!&lt;1)))</formula>
    </cfRule>
  </conditionalFormatting>
  <conditionalFormatting sqref="R47:R50">
    <cfRule type="expression" priority="13" dxfId="0" stopIfTrue="1">
      <formula>AND(#REF!=4,NOT(AND(#REF!&gt;-1,#REF!&lt;1)))</formula>
    </cfRule>
  </conditionalFormatting>
  <conditionalFormatting sqref="U47:U50">
    <cfRule type="expression" priority="12" dxfId="0" stopIfTrue="1">
      <formula>AND(#REF!=4,NOT(AND(#REF!&gt;-1,#REF!&lt;1)))</formula>
    </cfRule>
  </conditionalFormatting>
  <conditionalFormatting sqref="V47:V50">
    <cfRule type="expression" priority="11" dxfId="0" stopIfTrue="1">
      <formula>AND(#REF!=4,NOT(AND(#REF!&gt;-1,#REF!&lt;1)))</formula>
    </cfRule>
  </conditionalFormatting>
  <conditionalFormatting sqref="AJ43:AJ46 AJ51:AJ58">
    <cfRule type="expression" priority="9" dxfId="0" stopIfTrue="1">
      <formula>AND(#REF!=4,NOT(AND(#REF!&gt;-1,#REF!&lt;1)))</formula>
    </cfRule>
  </conditionalFormatting>
  <conditionalFormatting sqref="AK43:AK46 AK51:AK58">
    <cfRule type="expression" priority="8" dxfId="0" stopIfTrue="1">
      <formula>AND(#REF!=4,NOT(AND(#REF!&gt;-1,#REF!&lt;1)))</formula>
    </cfRule>
  </conditionalFormatting>
  <conditionalFormatting sqref="AM43:AM58">
    <cfRule type="expression" priority="7" dxfId="0" stopIfTrue="1">
      <formula>AND(#REF!=4,NOT(AND(#REF!&gt;-1,#REF!&lt;1)))</formula>
    </cfRule>
  </conditionalFormatting>
  <conditionalFormatting sqref="AG47:AG50">
    <cfRule type="expression" priority="6" dxfId="0" stopIfTrue="1">
      <formula>AND(#REF!=4,NOT(AND(#REF!&gt;-1,#REF!&lt;1)))</formula>
    </cfRule>
  </conditionalFormatting>
  <conditionalFormatting sqref="AJ47:AJ50">
    <cfRule type="expression" priority="5" dxfId="0" stopIfTrue="1">
      <formula>AND(#REF!=4,NOT(AND(#REF!&gt;-1,#REF!&lt;1)))</formula>
    </cfRule>
  </conditionalFormatting>
  <conditionalFormatting sqref="AK47:AK50">
    <cfRule type="expression" priority="4" dxfId="0" stopIfTrue="1">
      <formula>AND(#REF!=4,NOT(AND(#REF!&gt;-1,#REF!&lt;1)))</formula>
    </cfRule>
  </conditionalFormatting>
  <conditionalFormatting sqref="R24:R39">
    <cfRule type="expression" priority="1" dxfId="0" stopIfTrue="1">
      <formula>AND(#REF!=4,NOT(AND(#REF!&gt;-1,#REF!&lt;1)))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22"/>
    <pageSetUpPr fitToPage="1"/>
  </sheetPr>
  <dimension ref="B2:BG159"/>
  <sheetViews>
    <sheetView showGridLines="0" zoomScale="80" zoomScaleNormal="80" zoomScaleSheetLayoutView="70" workbookViewId="0" topLeftCell="A73">
      <selection activeCell="C92" sqref="C92"/>
    </sheetView>
  </sheetViews>
  <sheetFormatPr defaultColWidth="9.140625" defaultRowHeight="12.75"/>
  <cols>
    <col min="1" max="1" width="9.140625" style="13" customWidth="1"/>
    <col min="2" max="2" width="33.8515625" style="13" customWidth="1"/>
    <col min="3" max="3" width="15.28125" style="13" customWidth="1"/>
    <col min="4" max="4" width="15.7109375" style="13" customWidth="1"/>
    <col min="5" max="5" width="14.28125" style="13" customWidth="1"/>
    <col min="6" max="6" width="16.421875" style="13" bestFit="1" customWidth="1"/>
    <col min="7" max="7" width="14.8515625" style="13" bestFit="1" customWidth="1"/>
    <col min="8" max="8" width="14.421875" style="13" customWidth="1"/>
    <col min="9" max="9" width="15.00390625" style="13" bestFit="1" customWidth="1"/>
    <col min="10" max="10" width="14.140625" style="13" customWidth="1"/>
    <col min="11" max="23" width="15.28125" style="13" bestFit="1" customWidth="1"/>
    <col min="24" max="43" width="15.140625" style="13" customWidth="1"/>
    <col min="44" max="44" width="35.8515625" style="13" customWidth="1"/>
    <col min="45" max="45" width="11.140625" style="13" bestFit="1" customWidth="1"/>
    <col min="46" max="46" width="11.421875" style="13" customWidth="1"/>
    <col min="47" max="47" width="10.421875" style="13" customWidth="1"/>
    <col min="48" max="48" width="9.140625" style="13" customWidth="1"/>
    <col min="49" max="49" width="12.7109375" style="13" customWidth="1"/>
    <col min="50" max="50" width="9.8515625" style="13" customWidth="1"/>
    <col min="51" max="51" width="10.00390625" style="13" bestFit="1" customWidth="1"/>
    <col min="52" max="52" width="16.421875" style="13" bestFit="1" customWidth="1"/>
    <col min="53" max="56" width="9.140625" style="13" customWidth="1"/>
    <col min="57" max="57" width="11.8515625" style="13" customWidth="1"/>
    <col min="58" max="59" width="9.28125" style="13" bestFit="1" customWidth="1"/>
    <col min="60" max="16384" width="9.140625" style="13" customWidth="1"/>
  </cols>
  <sheetData>
    <row r="2" spans="2:8" ht="18">
      <c r="B2" s="566" t="str">
        <f>Overview!C5</f>
        <v>16750 W. Ancona Avenue, Old Mill Creek, Illinois (West Property)</v>
      </c>
      <c r="C2" s="539"/>
      <c r="G2" s="114"/>
      <c r="H2" s="114"/>
    </row>
    <row r="3" ht="12">
      <c r="B3" s="115" t="s">
        <v>10</v>
      </c>
    </row>
    <row r="4" spans="7:9" ht="12">
      <c r="G4" s="116"/>
      <c r="I4" s="117"/>
    </row>
    <row r="5" ht="12">
      <c r="I5" s="117"/>
    </row>
    <row r="6" spans="2:18" ht="12.75" thickBot="1">
      <c r="B6" s="103" t="s">
        <v>0</v>
      </c>
      <c r="C6" s="112"/>
      <c r="E6" s="103" t="s">
        <v>12</v>
      </c>
      <c r="F6" s="112"/>
      <c r="G6" s="112"/>
      <c r="H6" s="112"/>
      <c r="I6" s="118"/>
      <c r="J6" s="112" t="s">
        <v>150</v>
      </c>
      <c r="K6" s="112"/>
      <c r="L6" s="112"/>
      <c r="M6" s="112"/>
      <c r="O6" s="103" t="s">
        <v>22</v>
      </c>
      <c r="P6" s="112"/>
      <c r="Q6" s="112"/>
      <c r="R6" s="112"/>
    </row>
    <row r="7" spans="2:18" ht="12.75" thickBot="1">
      <c r="B7" s="13" t="s">
        <v>122</v>
      </c>
      <c r="C7" s="119">
        <f>Overview!P5</f>
        <v>3</v>
      </c>
      <c r="E7" s="13" t="s">
        <v>13</v>
      </c>
      <c r="H7" s="113">
        <v>0</v>
      </c>
      <c r="I7" s="120"/>
      <c r="J7" s="113" t="s">
        <v>149</v>
      </c>
      <c r="K7" s="113"/>
      <c r="L7" s="113"/>
      <c r="M7" s="121">
        <f>SUM(Overview!N23:N25)+SUM(Overview!Q23:Q25)</f>
        <v>0</v>
      </c>
      <c r="O7" s="122" t="s">
        <v>26</v>
      </c>
      <c r="P7" s="123"/>
      <c r="Q7" s="123"/>
      <c r="R7" s="124">
        <f>-PMT(H21,C17,NPV(H21,D35:AQ35)+C35)/1000</f>
        <v>0.07580325564466556</v>
      </c>
    </row>
    <row r="8" spans="2:18" ht="12">
      <c r="B8" s="13" t="s">
        <v>130</v>
      </c>
      <c r="C8" s="125">
        <f>Overview!M9/1000</f>
        <v>0.5809525862068965</v>
      </c>
      <c r="D8" s="119"/>
      <c r="E8" s="13" t="s">
        <v>14</v>
      </c>
      <c r="H8" s="113">
        <v>0</v>
      </c>
      <c r="I8" s="120"/>
      <c r="J8" s="113" t="s">
        <v>153</v>
      </c>
      <c r="K8" s="113"/>
      <c r="L8" s="113"/>
      <c r="M8" s="121">
        <f>Overview!M27*Overview!N27</f>
        <v>100</v>
      </c>
      <c r="O8" s="126" t="s">
        <v>24</v>
      </c>
      <c r="P8" s="12"/>
      <c r="Q8" s="12"/>
      <c r="R8" s="184">
        <f>NPV(H20,D57:AQ57)+C57</f>
        <v>-1333976.661869003</v>
      </c>
    </row>
    <row r="9" spans="2:13" ht="12.75" customHeight="1">
      <c r="B9" s="13" t="s">
        <v>111</v>
      </c>
      <c r="C9" s="127">
        <f>-PMT(H18,H19,+C7*C8*H17*10^6)</f>
        <v>0</v>
      </c>
      <c r="E9" s="33" t="s">
        <v>15</v>
      </c>
      <c r="F9" s="33"/>
      <c r="G9" s="33"/>
      <c r="H9" s="128">
        <v>0</v>
      </c>
      <c r="I9" s="129"/>
      <c r="J9" s="113" t="s">
        <v>154</v>
      </c>
      <c r="K9" s="113"/>
      <c r="L9" s="113"/>
      <c r="M9" s="121">
        <f>Overview!M28*Overview!N28</f>
        <v>100</v>
      </c>
    </row>
    <row r="10" spans="2:13" ht="12">
      <c r="B10" s="130" t="s">
        <v>1</v>
      </c>
      <c r="C10" s="131">
        <f>C8*C7*10^6+C9</f>
        <v>1742857.7586206894</v>
      </c>
      <c r="D10" s="157"/>
      <c r="E10" s="33" t="s">
        <v>116</v>
      </c>
      <c r="F10" s="33"/>
      <c r="G10" s="33"/>
      <c r="H10" s="132">
        <v>0</v>
      </c>
      <c r="I10" s="133"/>
      <c r="J10" s="113" t="s">
        <v>155</v>
      </c>
      <c r="K10" s="113"/>
      <c r="L10" s="113"/>
      <c r="M10" s="121">
        <f>Overview!M29*Overview!N29</f>
        <v>100</v>
      </c>
    </row>
    <row r="11" spans="4:21" ht="12">
      <c r="D11" s="119"/>
      <c r="E11" s="33" t="s">
        <v>3</v>
      </c>
      <c r="F11" s="33"/>
      <c r="G11" s="33"/>
      <c r="H11" s="132">
        <v>0</v>
      </c>
      <c r="I11" s="133"/>
      <c r="J11" s="113" t="s">
        <v>156</v>
      </c>
      <c r="K11" s="113"/>
      <c r="L11" s="113"/>
      <c r="M11" s="121">
        <f>Overview!M30*Overview!N30</f>
        <v>100</v>
      </c>
      <c r="U11" s="134"/>
    </row>
    <row r="12" spans="5:20" ht="12">
      <c r="E12" s="12" t="s">
        <v>87</v>
      </c>
      <c r="F12" s="33"/>
      <c r="G12" s="33"/>
      <c r="H12" s="135">
        <v>0</v>
      </c>
      <c r="I12" s="136"/>
      <c r="J12" s="113" t="s">
        <v>157</v>
      </c>
      <c r="K12" s="113"/>
      <c r="L12" s="113"/>
      <c r="M12" s="121">
        <f>Overview!M31*Overview!N31</f>
        <v>100</v>
      </c>
      <c r="T12" s="137"/>
    </row>
    <row r="13" spans="2:30" ht="12">
      <c r="B13" s="138" t="s">
        <v>82</v>
      </c>
      <c r="C13" s="112"/>
      <c r="E13" s="12"/>
      <c r="I13" s="117"/>
      <c r="J13" s="113" t="s">
        <v>158</v>
      </c>
      <c r="K13" s="113"/>
      <c r="L13" s="113"/>
      <c r="M13" s="121">
        <f>Overview!M32*Overview!N32</f>
        <v>0</v>
      </c>
      <c r="S13" s="139"/>
      <c r="U13" s="140"/>
      <c r="AD13" s="141"/>
    </row>
    <row r="14" spans="2:33" ht="13.5" customHeight="1">
      <c r="B14" s="33" t="s">
        <v>117</v>
      </c>
      <c r="C14" s="142">
        <f>Overview!M12</f>
        <v>0.14607762557077628</v>
      </c>
      <c r="I14" s="117"/>
      <c r="J14" s="113" t="s">
        <v>159</v>
      </c>
      <c r="K14" s="113"/>
      <c r="L14" s="113"/>
      <c r="M14" s="121">
        <f>Overview!M33*Overview!N33</f>
        <v>0</v>
      </c>
      <c r="T14" s="137"/>
      <c r="AG14" s="114"/>
    </row>
    <row r="15" spans="2:13" ht="12">
      <c r="B15" s="33" t="s">
        <v>132</v>
      </c>
      <c r="C15" s="143">
        <f>8760*C14*C8</f>
        <v>743.410167413793</v>
      </c>
      <c r="E15" s="103" t="s">
        <v>11</v>
      </c>
      <c r="F15" s="112"/>
      <c r="G15" s="112"/>
      <c r="H15" s="112"/>
      <c r="I15" s="118"/>
      <c r="J15" s="113" t="s">
        <v>160</v>
      </c>
      <c r="K15" s="113"/>
      <c r="L15" s="113"/>
      <c r="M15" s="121">
        <f>Overview!M34*Overview!N34</f>
        <v>0</v>
      </c>
    </row>
    <row r="16" spans="2:21" ht="12">
      <c r="B16" s="13" t="s">
        <v>23</v>
      </c>
      <c r="C16" s="128">
        <f>Overview!M14</f>
        <v>0.007</v>
      </c>
      <c r="E16" s="13" t="s">
        <v>27</v>
      </c>
      <c r="H16" s="144">
        <v>1</v>
      </c>
      <c r="I16" s="145"/>
      <c r="J16" s="113" t="s">
        <v>161</v>
      </c>
      <c r="K16" s="113"/>
      <c r="L16" s="113"/>
      <c r="M16" s="121">
        <f>Overview!M35*Overview!N35</f>
        <v>0</v>
      </c>
      <c r="T16" s="137"/>
      <c r="U16" s="146"/>
    </row>
    <row r="17" spans="2:13" ht="12">
      <c r="B17" s="13" t="s">
        <v>48</v>
      </c>
      <c r="C17" s="116">
        <f>Overview!M13</f>
        <v>20</v>
      </c>
      <c r="E17" s="13" t="s">
        <v>28</v>
      </c>
      <c r="H17" s="144">
        <f>1-H16</f>
        <v>0</v>
      </c>
      <c r="I17" s="145"/>
      <c r="J17" s="113" t="s">
        <v>162</v>
      </c>
      <c r="K17" s="113"/>
      <c r="L17" s="113"/>
      <c r="M17" s="121">
        <f>Overview!M36*Overview!N36</f>
        <v>0</v>
      </c>
    </row>
    <row r="18" spans="5:20" ht="12">
      <c r="E18" s="13" t="s">
        <v>29</v>
      </c>
      <c r="H18" s="96">
        <v>0</v>
      </c>
      <c r="I18" s="147"/>
      <c r="J18" s="113" t="s">
        <v>163</v>
      </c>
      <c r="K18" s="113"/>
      <c r="L18" s="113"/>
      <c r="M18" s="121">
        <f>Overview!P27*Overview!Q27</f>
        <v>0</v>
      </c>
      <c r="T18" s="137"/>
    </row>
    <row r="19" spans="2:13" ht="12">
      <c r="B19" s="103" t="s">
        <v>9</v>
      </c>
      <c r="C19" s="112"/>
      <c r="E19" s="126" t="s">
        <v>30</v>
      </c>
      <c r="F19" s="126"/>
      <c r="G19" s="126"/>
      <c r="H19" s="148">
        <v>20</v>
      </c>
      <c r="I19" s="149"/>
      <c r="J19" s="113" t="s">
        <v>164</v>
      </c>
      <c r="K19" s="113"/>
      <c r="L19" s="113"/>
      <c r="M19" s="121">
        <f>Overview!P28*Overview!Q28</f>
        <v>0</v>
      </c>
    </row>
    <row r="20" spans="2:50" ht="12">
      <c r="B20" s="13" t="s">
        <v>36</v>
      </c>
      <c r="C20" s="119">
        <f>Overview!P12</f>
        <v>25</v>
      </c>
      <c r="E20" s="12" t="s">
        <v>25</v>
      </c>
      <c r="F20" s="12"/>
      <c r="G20" s="12"/>
      <c r="H20" s="150">
        <v>0</v>
      </c>
      <c r="I20" s="151"/>
      <c r="J20" s="113" t="s">
        <v>165</v>
      </c>
      <c r="K20" s="113"/>
      <c r="L20" s="113"/>
      <c r="M20" s="121">
        <f>Overview!P29*Overview!Q29</f>
        <v>0</v>
      </c>
      <c r="AX20" s="152"/>
    </row>
    <row r="21" spans="2:52" ht="12">
      <c r="B21" s="13" t="s">
        <v>37</v>
      </c>
      <c r="C21" s="113">
        <f>Overview!P13</f>
        <v>0.02</v>
      </c>
      <c r="E21" s="12" t="s">
        <v>31</v>
      </c>
      <c r="H21" s="113">
        <v>0</v>
      </c>
      <c r="I21" s="113"/>
      <c r="J21" s="113" t="s">
        <v>166</v>
      </c>
      <c r="K21" s="113"/>
      <c r="L21" s="113"/>
      <c r="M21" s="121">
        <f>Overview!P30*Overview!Q30</f>
        <v>0</v>
      </c>
      <c r="AX21" s="153"/>
      <c r="AY21" s="153"/>
      <c r="AZ21" s="153"/>
    </row>
    <row r="22" spans="2:13" ht="12">
      <c r="B22" s="13" t="s">
        <v>40</v>
      </c>
      <c r="C22" s="119">
        <v>0.25</v>
      </c>
      <c r="E22" s="12" t="s">
        <v>66</v>
      </c>
      <c r="F22" s="126"/>
      <c r="G22" s="126"/>
      <c r="H22" s="154">
        <v>0</v>
      </c>
      <c r="I22" s="154"/>
      <c r="J22" s="113" t="s">
        <v>167</v>
      </c>
      <c r="K22" s="113"/>
      <c r="L22" s="113"/>
      <c r="M22" s="121">
        <f>Overview!P31*Overview!Q31</f>
        <v>0</v>
      </c>
    </row>
    <row r="23" spans="2:13" ht="12">
      <c r="B23" s="126" t="s">
        <v>217</v>
      </c>
      <c r="C23" s="155">
        <f>C22*C8*10^6</f>
        <v>145238.14655172412</v>
      </c>
      <c r="E23" s="13" t="s">
        <v>218</v>
      </c>
      <c r="H23" s="156">
        <f>Overview!P19</f>
        <v>0.01</v>
      </c>
      <c r="I23" s="156"/>
      <c r="J23" s="113" t="s">
        <v>168</v>
      </c>
      <c r="K23" s="113"/>
      <c r="L23" s="113"/>
      <c r="M23" s="121">
        <f>Overview!P32*Overview!Q32</f>
        <v>0</v>
      </c>
    </row>
    <row r="24" spans="2:13" ht="12">
      <c r="B24" s="126" t="s">
        <v>126</v>
      </c>
      <c r="C24" s="155">
        <f>IF(ISNUMBER(C23/C25),C23/C25,0)</f>
        <v>14523.814655172411</v>
      </c>
      <c r="E24" s="13" t="s">
        <v>219</v>
      </c>
      <c r="H24" s="137">
        <v>0.088</v>
      </c>
      <c r="I24" s="157"/>
      <c r="J24" s="113" t="s">
        <v>169</v>
      </c>
      <c r="K24" s="113"/>
      <c r="L24" s="113"/>
      <c r="M24" s="121">
        <f>Overview!P33*Overview!Q33</f>
        <v>0</v>
      </c>
    </row>
    <row r="25" spans="2:13" ht="12">
      <c r="B25" s="13" t="s">
        <v>38</v>
      </c>
      <c r="C25" s="116">
        <f>Overview!P15</f>
        <v>10</v>
      </c>
      <c r="E25" s="158" t="s">
        <v>32</v>
      </c>
      <c r="F25" s="159"/>
      <c r="G25" s="159"/>
      <c r="H25" s="131">
        <f>(H16*C10)-H24</f>
        <v>1742857.6706206894</v>
      </c>
      <c r="I25" s="160"/>
      <c r="J25" s="113" t="s">
        <v>170</v>
      </c>
      <c r="K25" s="113"/>
      <c r="L25" s="113"/>
      <c r="M25" s="121">
        <f>Overview!P34*Overview!Q34</f>
        <v>0</v>
      </c>
    </row>
    <row r="26" spans="2:13" ht="14.25" customHeight="1">
      <c r="B26" s="13" t="s">
        <v>41</v>
      </c>
      <c r="C26" s="119">
        <f>Overview!P16</f>
        <v>25</v>
      </c>
      <c r="E26" s="158" t="s">
        <v>33</v>
      </c>
      <c r="F26" s="159"/>
      <c r="G26" s="159"/>
      <c r="H26" s="131">
        <f>H17*C10</f>
        <v>0</v>
      </c>
      <c r="I26" s="161"/>
      <c r="J26" s="113" t="s">
        <v>171</v>
      </c>
      <c r="K26" s="113"/>
      <c r="L26" s="113"/>
      <c r="M26" s="121">
        <f>Overview!P35*Overview!Q35</f>
        <v>0</v>
      </c>
    </row>
    <row r="27" spans="2:13" ht="12">
      <c r="B27" s="13" t="s">
        <v>39</v>
      </c>
      <c r="C27" s="113">
        <f>Overview!P17</f>
        <v>0.02</v>
      </c>
      <c r="J27" s="113" t="s">
        <v>172</v>
      </c>
      <c r="K27" s="113"/>
      <c r="L27" s="113"/>
      <c r="M27" s="121">
        <f>Overview!P36*Overview!Q36</f>
        <v>0</v>
      </c>
    </row>
    <row r="28" ht="12">
      <c r="C28" s="162"/>
    </row>
    <row r="29" spans="3:13" ht="12">
      <c r="C29" s="113"/>
      <c r="E29" s="33"/>
      <c r="F29" s="33"/>
      <c r="G29" s="33"/>
      <c r="H29" s="163"/>
      <c r="I29" s="33"/>
      <c r="J29" s="164"/>
      <c r="K29" s="164"/>
      <c r="L29" s="165"/>
      <c r="M29" s="166"/>
    </row>
    <row r="30" spans="2:12" ht="12">
      <c r="B30" s="37"/>
      <c r="C30" s="33"/>
      <c r="E30" s="33"/>
      <c r="F30" s="33"/>
      <c r="G30" s="33"/>
      <c r="H30" s="33"/>
      <c r="I30" s="33"/>
      <c r="J30" s="114"/>
      <c r="K30" s="167"/>
      <c r="L30" s="139"/>
    </row>
    <row r="31" spans="2:45" ht="12">
      <c r="B31" s="168" t="s">
        <v>4</v>
      </c>
      <c r="C31" s="168">
        <v>0</v>
      </c>
      <c r="D31" s="168">
        <v>1</v>
      </c>
      <c r="E31" s="168">
        <v>2</v>
      </c>
      <c r="F31" s="168">
        <v>3</v>
      </c>
      <c r="G31" s="168">
        <v>4</v>
      </c>
      <c r="H31" s="168">
        <v>5</v>
      </c>
      <c r="I31" s="168">
        <v>6</v>
      </c>
      <c r="J31" s="168">
        <v>7</v>
      </c>
      <c r="K31" s="168">
        <v>8</v>
      </c>
      <c r="L31" s="168">
        <v>9</v>
      </c>
      <c r="M31" s="168">
        <v>10</v>
      </c>
      <c r="N31" s="168">
        <v>11</v>
      </c>
      <c r="O31" s="168">
        <v>12</v>
      </c>
      <c r="P31" s="168">
        <v>13</v>
      </c>
      <c r="Q31" s="168">
        <v>14</v>
      </c>
      <c r="R31" s="168">
        <v>15</v>
      </c>
      <c r="S31" s="168">
        <v>16</v>
      </c>
      <c r="T31" s="168">
        <v>17</v>
      </c>
      <c r="U31" s="168">
        <v>18</v>
      </c>
      <c r="V31" s="168">
        <v>19</v>
      </c>
      <c r="W31" s="168">
        <v>20</v>
      </c>
      <c r="X31" s="168">
        <v>21</v>
      </c>
      <c r="Y31" s="168">
        <v>22</v>
      </c>
      <c r="Z31" s="168">
        <v>23</v>
      </c>
      <c r="AA31" s="168">
        <v>24</v>
      </c>
      <c r="AB31" s="168">
        <v>25</v>
      </c>
      <c r="AC31" s="168">
        <v>26</v>
      </c>
      <c r="AD31" s="168">
        <v>27</v>
      </c>
      <c r="AE31" s="168">
        <v>28</v>
      </c>
      <c r="AF31" s="168">
        <v>29</v>
      </c>
      <c r="AG31" s="168">
        <v>30</v>
      </c>
      <c r="AH31" s="168">
        <v>31</v>
      </c>
      <c r="AI31" s="168">
        <v>32</v>
      </c>
      <c r="AJ31" s="168">
        <v>33</v>
      </c>
      <c r="AK31" s="168">
        <v>34</v>
      </c>
      <c r="AL31" s="168">
        <v>35</v>
      </c>
      <c r="AM31" s="168">
        <v>36</v>
      </c>
      <c r="AN31" s="168">
        <v>37</v>
      </c>
      <c r="AO31" s="168">
        <v>38</v>
      </c>
      <c r="AP31" s="168">
        <v>39</v>
      </c>
      <c r="AQ31" s="168">
        <v>40</v>
      </c>
      <c r="AR31" s="169" t="s">
        <v>86</v>
      </c>
      <c r="AS31" s="170" t="s">
        <v>85</v>
      </c>
    </row>
    <row r="32" spans="2:45" ht="12">
      <c r="B32" s="1"/>
      <c r="C32" s="1"/>
      <c r="AR32" s="33"/>
      <c r="AS32" s="33"/>
    </row>
    <row r="33" spans="2:52" ht="12">
      <c r="B33" s="1" t="s">
        <v>131</v>
      </c>
      <c r="C33" s="1"/>
      <c r="D33" s="10">
        <f>Overview!M11/1000</f>
        <v>743.4101674137931</v>
      </c>
      <c r="E33" s="10">
        <f>IF($C$17&gt;=E31,D33*(1-$C$16),0)</f>
        <v>738.2062962418966</v>
      </c>
      <c r="F33" s="10">
        <f aca="true" t="shared" si="0" ref="F33:AQ33">IF($C$17&gt;=F31,E33*(1-$C$16),0)</f>
        <v>733.0388521682032</v>
      </c>
      <c r="G33" s="10">
        <f t="shared" si="0"/>
        <v>727.9075802030258</v>
      </c>
      <c r="H33" s="10">
        <f t="shared" si="0"/>
        <v>722.8122271416046</v>
      </c>
      <c r="I33" s="10">
        <f>IF($C$17&gt;=I31,H33*(1-$C$16),0)</f>
        <v>717.7525415516134</v>
      </c>
      <c r="J33" s="10">
        <f t="shared" si="0"/>
        <v>712.7282737607521</v>
      </c>
      <c r="K33" s="10">
        <f t="shared" si="0"/>
        <v>707.7391758444269</v>
      </c>
      <c r="L33" s="10">
        <f t="shared" si="0"/>
        <v>702.7850016135159</v>
      </c>
      <c r="M33" s="10">
        <f t="shared" si="0"/>
        <v>697.8655066022212</v>
      </c>
      <c r="N33" s="10">
        <f t="shared" si="0"/>
        <v>692.9804480560057</v>
      </c>
      <c r="O33" s="10">
        <f t="shared" si="0"/>
        <v>688.1295849196136</v>
      </c>
      <c r="P33" s="10">
        <f t="shared" si="0"/>
        <v>683.3126778251764</v>
      </c>
      <c r="Q33" s="10">
        <f t="shared" si="0"/>
        <v>678.5294890804001</v>
      </c>
      <c r="R33" s="10">
        <f t="shared" si="0"/>
        <v>673.7797826568374</v>
      </c>
      <c r="S33" s="10">
        <f t="shared" si="0"/>
        <v>669.0633241782396</v>
      </c>
      <c r="T33" s="10">
        <f t="shared" si="0"/>
        <v>664.3798809089918</v>
      </c>
      <c r="U33" s="10">
        <f t="shared" si="0"/>
        <v>659.7292217426289</v>
      </c>
      <c r="V33" s="10">
        <f t="shared" si="0"/>
        <v>655.1111171904305</v>
      </c>
      <c r="W33" s="10">
        <f t="shared" si="0"/>
        <v>650.5253393700975</v>
      </c>
      <c r="X33" s="10">
        <f t="shared" si="0"/>
        <v>0</v>
      </c>
      <c r="Y33" s="10">
        <f t="shared" si="0"/>
        <v>0</v>
      </c>
      <c r="Z33" s="10">
        <f t="shared" si="0"/>
        <v>0</v>
      </c>
      <c r="AA33" s="10">
        <f t="shared" si="0"/>
        <v>0</v>
      </c>
      <c r="AB33" s="10">
        <f t="shared" si="0"/>
        <v>0</v>
      </c>
      <c r="AC33" s="10">
        <f t="shared" si="0"/>
        <v>0</v>
      </c>
      <c r="AD33" s="10">
        <f t="shared" si="0"/>
        <v>0</v>
      </c>
      <c r="AE33" s="10">
        <f t="shared" si="0"/>
        <v>0</v>
      </c>
      <c r="AF33" s="10">
        <f t="shared" si="0"/>
        <v>0</v>
      </c>
      <c r="AG33" s="10">
        <f t="shared" si="0"/>
        <v>0</v>
      </c>
      <c r="AH33" s="10">
        <f t="shared" si="0"/>
        <v>0</v>
      </c>
      <c r="AI33" s="10">
        <f t="shared" si="0"/>
        <v>0</v>
      </c>
      <c r="AJ33" s="10">
        <f t="shared" si="0"/>
        <v>0</v>
      </c>
      <c r="AK33" s="10">
        <f t="shared" si="0"/>
        <v>0</v>
      </c>
      <c r="AL33" s="10">
        <f t="shared" si="0"/>
        <v>0</v>
      </c>
      <c r="AM33" s="10">
        <f t="shared" si="0"/>
        <v>0</v>
      </c>
      <c r="AN33" s="10">
        <f t="shared" si="0"/>
        <v>0</v>
      </c>
      <c r="AO33" s="10">
        <f t="shared" si="0"/>
        <v>0</v>
      </c>
      <c r="AP33" s="10">
        <f t="shared" si="0"/>
        <v>0</v>
      </c>
      <c r="AQ33" s="10">
        <f t="shared" si="0"/>
        <v>0</v>
      </c>
      <c r="AR33" s="27" t="s">
        <v>131</v>
      </c>
      <c r="AS33" s="171">
        <f>-PMT(H20,$C$17,NPV(H20,$D33:$AQ33))</f>
        <v>695.9893244234737</v>
      </c>
      <c r="AT33" s="171"/>
      <c r="AU33" s="171"/>
      <c r="AV33" s="171"/>
      <c r="AX33" s="172"/>
      <c r="AY33" s="172"/>
      <c r="AZ33" s="172"/>
    </row>
    <row r="34" spans="3:52" s="126" customFormat="1" ht="12"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73"/>
      <c r="AS34" s="174"/>
      <c r="AT34" s="174"/>
      <c r="AU34" s="12"/>
      <c r="AV34" s="12"/>
      <c r="AX34" s="172"/>
      <c r="AY34" s="172"/>
      <c r="AZ34" s="172"/>
    </row>
    <row r="35" spans="2:52" s="344" customFormat="1" ht="12">
      <c r="B35" s="160" t="s">
        <v>174</v>
      </c>
      <c r="C35" s="160"/>
      <c r="D35" s="342">
        <f>Overview!P18</f>
        <v>68.85257449662903</v>
      </c>
      <c r="E35" s="342">
        <f aca="true" t="shared" si="1" ref="E35:W35">D35*(1+$H23)</f>
        <v>69.54110024159532</v>
      </c>
      <c r="F35" s="342">
        <f t="shared" si="1"/>
        <v>70.23651124401127</v>
      </c>
      <c r="G35" s="342">
        <f t="shared" si="1"/>
        <v>70.93887635645139</v>
      </c>
      <c r="H35" s="342">
        <f t="shared" si="1"/>
        <v>71.6482651200159</v>
      </c>
      <c r="I35" s="342">
        <f t="shared" si="1"/>
        <v>72.36474777121607</v>
      </c>
      <c r="J35" s="342">
        <f t="shared" si="1"/>
        <v>73.08839524892824</v>
      </c>
      <c r="K35" s="342">
        <f t="shared" si="1"/>
        <v>73.81927920141752</v>
      </c>
      <c r="L35" s="342">
        <f t="shared" si="1"/>
        <v>74.55747199343169</v>
      </c>
      <c r="M35" s="342">
        <f t="shared" si="1"/>
        <v>75.303046713366</v>
      </c>
      <c r="N35" s="342">
        <f t="shared" si="1"/>
        <v>76.05607718049966</v>
      </c>
      <c r="O35" s="342">
        <f t="shared" si="1"/>
        <v>76.81663795230466</v>
      </c>
      <c r="P35" s="342">
        <f t="shared" si="1"/>
        <v>77.58480433182771</v>
      </c>
      <c r="Q35" s="342">
        <f t="shared" si="1"/>
        <v>78.36065237514599</v>
      </c>
      <c r="R35" s="342">
        <f t="shared" si="1"/>
        <v>79.14425889889745</v>
      </c>
      <c r="S35" s="342">
        <f t="shared" si="1"/>
        <v>79.93570148788642</v>
      </c>
      <c r="T35" s="342">
        <f t="shared" si="1"/>
        <v>80.73505850276528</v>
      </c>
      <c r="U35" s="342">
        <f t="shared" si="1"/>
        <v>81.54240908779293</v>
      </c>
      <c r="V35" s="342">
        <f t="shared" si="1"/>
        <v>82.35783317867086</v>
      </c>
      <c r="W35" s="342">
        <f t="shared" si="1"/>
        <v>83.18141151045756</v>
      </c>
      <c r="X35" s="342">
        <f aca="true" t="shared" si="2" ref="X35:AQ35">IF(X31&lt;=$C$17,W35*(1+$H$23),0)</f>
        <v>0</v>
      </c>
      <c r="Y35" s="342">
        <f t="shared" si="2"/>
        <v>0</v>
      </c>
      <c r="Z35" s="342">
        <f t="shared" si="2"/>
        <v>0</v>
      </c>
      <c r="AA35" s="342">
        <f t="shared" si="2"/>
        <v>0</v>
      </c>
      <c r="AB35" s="342">
        <f t="shared" si="2"/>
        <v>0</v>
      </c>
      <c r="AC35" s="342">
        <f t="shared" si="2"/>
        <v>0</v>
      </c>
      <c r="AD35" s="342">
        <f t="shared" si="2"/>
        <v>0</v>
      </c>
      <c r="AE35" s="342">
        <f t="shared" si="2"/>
        <v>0</v>
      </c>
      <c r="AF35" s="342">
        <f t="shared" si="2"/>
        <v>0</v>
      </c>
      <c r="AG35" s="342">
        <f t="shared" si="2"/>
        <v>0</v>
      </c>
      <c r="AH35" s="342">
        <f t="shared" si="2"/>
        <v>0</v>
      </c>
      <c r="AI35" s="342">
        <f t="shared" si="2"/>
        <v>0</v>
      </c>
      <c r="AJ35" s="342">
        <f t="shared" si="2"/>
        <v>0</v>
      </c>
      <c r="AK35" s="342">
        <f t="shared" si="2"/>
        <v>0</v>
      </c>
      <c r="AL35" s="342">
        <f t="shared" si="2"/>
        <v>0</v>
      </c>
      <c r="AM35" s="342">
        <f t="shared" si="2"/>
        <v>0</v>
      </c>
      <c r="AN35" s="342">
        <f t="shared" si="2"/>
        <v>0</v>
      </c>
      <c r="AO35" s="342">
        <f t="shared" si="2"/>
        <v>0</v>
      </c>
      <c r="AP35" s="342">
        <f t="shared" si="2"/>
        <v>0</v>
      </c>
      <c r="AQ35" s="342">
        <f t="shared" si="2"/>
        <v>0</v>
      </c>
      <c r="AR35" s="343" t="s">
        <v>83</v>
      </c>
      <c r="AS35" s="342">
        <f>C93</f>
        <v>173.1750695303965</v>
      </c>
      <c r="AT35" s="342"/>
      <c r="AU35" s="342"/>
      <c r="AV35" s="342"/>
      <c r="AX35" s="119"/>
      <c r="AY35" s="119"/>
      <c r="AZ35" s="119"/>
    </row>
    <row r="36" spans="2:52" ht="12">
      <c r="B36" s="33" t="s">
        <v>220</v>
      </c>
      <c r="C36" s="179"/>
      <c r="D36" s="179">
        <f>(D33*D35)+$M7+($M8*D$33)</f>
        <v>125526.72067478896</v>
      </c>
      <c r="E36" s="179">
        <f>(E33*E35)+($M9*E$33)</f>
        <v>125156.3076701242</v>
      </c>
      <c r="F36" s="179">
        <f>(F33*F35)+($M10*F$33)</f>
        <v>124789.97679942944</v>
      </c>
      <c r="G36" s="179">
        <f>(G33*G35)+($M11*G$33)</f>
        <v>124427.70385124875</v>
      </c>
      <c r="H36" s="179">
        <f>(H33*H35)+($M12*H$33)</f>
        <v>124069.46479639129</v>
      </c>
      <c r="I36" s="179">
        <f>(I33*I35)+($M13*I$33)</f>
        <v>51939.98163153179</v>
      </c>
      <c r="J36" s="179">
        <f>(J33*J35)+($M14*J$33)</f>
        <v>52092.16577771218</v>
      </c>
      <c r="K36" s="179">
        <f>(K33*K35)+($M15*K$33)</f>
        <v>52244.79582344087</v>
      </c>
      <c r="L36" s="179">
        <f>(L33*L35)+($M16*L$33)</f>
        <v>52397.873075203555</v>
      </c>
      <c r="M36" s="179">
        <f>(M33*M35)+($M17*M$33)</f>
        <v>52551.398843313895</v>
      </c>
      <c r="N36" s="179">
        <f>(N33*N35)+($M18*N$33)</f>
        <v>52705.3744419248</v>
      </c>
      <c r="O36" s="179">
        <f>(O33*O35)+($M19*O$33)</f>
        <v>52859.801189039645</v>
      </c>
      <c r="P36" s="179">
        <f>(P33*P35)+($M20*P$33)</f>
        <v>53014.680406523534</v>
      </c>
      <c r="Q36" s="179">
        <f>(Q33*Q35)+($M21*Q$33)</f>
        <v>53170.01342011465</v>
      </c>
      <c r="R36" s="179">
        <f>(R33*R35)+($M22*R$33)</f>
        <v>53325.80155943559</v>
      </c>
      <c r="S36" s="179">
        <f>(S33*S35)+($M23*S$33)</f>
        <v>53482.046158004734</v>
      </c>
      <c r="T36" s="179">
        <f>(T33*T35)+($M24*T$33)</f>
        <v>53638.748553247686</v>
      </c>
      <c r="U36" s="179">
        <f>(U33*U35)+($M25*U$33)</f>
        <v>53795.910086508695</v>
      </c>
      <c r="V36" s="179">
        <f>(V33*V35)+($M26*V$33)</f>
        <v>53953.53210306217</v>
      </c>
      <c r="W36" s="179">
        <f>(W33*W35)+($M27*W$33)</f>
        <v>54111.61595212414</v>
      </c>
      <c r="X36" s="179">
        <f>(X33*X35)+($M9*X$33)</f>
        <v>0</v>
      </c>
      <c r="Y36" s="179">
        <f>(Y33*Y35)+($M9*Y$33)</f>
        <v>0</v>
      </c>
      <c r="Z36" s="179">
        <f aca="true" t="shared" si="3" ref="Z36:AQ36">(Z33*Z35)</f>
        <v>0</v>
      </c>
      <c r="AA36" s="179">
        <f t="shared" si="3"/>
        <v>0</v>
      </c>
      <c r="AB36" s="179">
        <f t="shared" si="3"/>
        <v>0</v>
      </c>
      <c r="AC36" s="179">
        <f t="shared" si="3"/>
        <v>0</v>
      </c>
      <c r="AD36" s="179">
        <f t="shared" si="3"/>
        <v>0</v>
      </c>
      <c r="AE36" s="179">
        <f t="shared" si="3"/>
        <v>0</v>
      </c>
      <c r="AF36" s="179">
        <f t="shared" si="3"/>
        <v>0</v>
      </c>
      <c r="AG36" s="179">
        <f t="shared" si="3"/>
        <v>0</v>
      </c>
      <c r="AH36" s="179">
        <f t="shared" si="3"/>
        <v>0</v>
      </c>
      <c r="AI36" s="179">
        <f t="shared" si="3"/>
        <v>0</v>
      </c>
      <c r="AJ36" s="179">
        <f t="shared" si="3"/>
        <v>0</v>
      </c>
      <c r="AK36" s="179">
        <f t="shared" si="3"/>
        <v>0</v>
      </c>
      <c r="AL36" s="179">
        <f t="shared" si="3"/>
        <v>0</v>
      </c>
      <c r="AM36" s="179">
        <f t="shared" si="3"/>
        <v>0</v>
      </c>
      <c r="AN36" s="179">
        <f t="shared" si="3"/>
        <v>0</v>
      </c>
      <c r="AO36" s="179">
        <f t="shared" si="3"/>
        <v>0</v>
      </c>
      <c r="AP36" s="179">
        <f t="shared" si="3"/>
        <v>0</v>
      </c>
      <c r="AQ36" s="179">
        <f t="shared" si="3"/>
        <v>0</v>
      </c>
      <c r="AR36" s="180" t="s">
        <v>84</v>
      </c>
      <c r="AS36" s="181">
        <f>-PMT($H$20,$C$17,NPV($H$20,$D36:$AQ36)+$C36)/AS$33</f>
        <v>101.9594599377524</v>
      </c>
      <c r="AT36" s="181"/>
      <c r="AU36" s="153"/>
      <c r="AV36" s="153"/>
      <c r="AX36" s="172"/>
      <c r="AY36" s="172"/>
      <c r="AZ36" s="172"/>
    </row>
    <row r="37" spans="2:56" ht="12">
      <c r="B37" s="5" t="s">
        <v>221</v>
      </c>
      <c r="C37" s="20"/>
      <c r="D37" s="20">
        <f>D36</f>
        <v>125526.72067478896</v>
      </c>
      <c r="E37" s="20">
        <f>E36</f>
        <v>125156.3076701242</v>
      </c>
      <c r="F37" s="20">
        <f aca="true" t="shared" si="4" ref="F37:AQ37">F36</f>
        <v>124789.97679942944</v>
      </c>
      <c r="G37" s="20">
        <f t="shared" si="4"/>
        <v>124427.70385124875</v>
      </c>
      <c r="H37" s="20">
        <f t="shared" si="4"/>
        <v>124069.46479639129</v>
      </c>
      <c r="I37" s="20">
        <f t="shared" si="4"/>
        <v>51939.98163153179</v>
      </c>
      <c r="J37" s="20">
        <f t="shared" si="4"/>
        <v>52092.16577771218</v>
      </c>
      <c r="K37" s="20">
        <f t="shared" si="4"/>
        <v>52244.79582344087</v>
      </c>
      <c r="L37" s="20">
        <f t="shared" si="4"/>
        <v>52397.873075203555</v>
      </c>
      <c r="M37" s="20">
        <f t="shared" si="4"/>
        <v>52551.398843313895</v>
      </c>
      <c r="N37" s="20">
        <f t="shared" si="4"/>
        <v>52705.3744419248</v>
      </c>
      <c r="O37" s="20">
        <f t="shared" si="4"/>
        <v>52859.801189039645</v>
      </c>
      <c r="P37" s="20">
        <f t="shared" si="4"/>
        <v>53014.680406523534</v>
      </c>
      <c r="Q37" s="20">
        <f t="shared" si="4"/>
        <v>53170.01342011465</v>
      </c>
      <c r="R37" s="20">
        <f t="shared" si="4"/>
        <v>53325.80155943559</v>
      </c>
      <c r="S37" s="20">
        <f t="shared" si="4"/>
        <v>53482.046158004734</v>
      </c>
      <c r="T37" s="20">
        <f t="shared" si="4"/>
        <v>53638.748553247686</v>
      </c>
      <c r="U37" s="20">
        <f t="shared" si="4"/>
        <v>53795.910086508695</v>
      </c>
      <c r="V37" s="20">
        <f t="shared" si="4"/>
        <v>53953.53210306217</v>
      </c>
      <c r="W37" s="20">
        <f t="shared" si="4"/>
        <v>54111.61595212414</v>
      </c>
      <c r="X37" s="20">
        <f t="shared" si="4"/>
        <v>0</v>
      </c>
      <c r="Y37" s="20">
        <f t="shared" si="4"/>
        <v>0</v>
      </c>
      <c r="Z37" s="20">
        <f t="shared" si="4"/>
        <v>0</v>
      </c>
      <c r="AA37" s="20">
        <f t="shared" si="4"/>
        <v>0</v>
      </c>
      <c r="AB37" s="20">
        <f t="shared" si="4"/>
        <v>0</v>
      </c>
      <c r="AC37" s="20">
        <f t="shared" si="4"/>
        <v>0</v>
      </c>
      <c r="AD37" s="20">
        <f t="shared" si="4"/>
        <v>0</v>
      </c>
      <c r="AE37" s="20">
        <f t="shared" si="4"/>
        <v>0</v>
      </c>
      <c r="AF37" s="20">
        <f t="shared" si="4"/>
        <v>0</v>
      </c>
      <c r="AG37" s="20">
        <f t="shared" si="4"/>
        <v>0</v>
      </c>
      <c r="AH37" s="20">
        <f t="shared" si="4"/>
        <v>0</v>
      </c>
      <c r="AI37" s="20">
        <f t="shared" si="4"/>
        <v>0</v>
      </c>
      <c r="AJ37" s="20">
        <f t="shared" si="4"/>
        <v>0</v>
      </c>
      <c r="AK37" s="20">
        <f t="shared" si="4"/>
        <v>0</v>
      </c>
      <c r="AL37" s="20">
        <f t="shared" si="4"/>
        <v>0</v>
      </c>
      <c r="AM37" s="20">
        <f t="shared" si="4"/>
        <v>0</v>
      </c>
      <c r="AN37" s="20">
        <f t="shared" si="4"/>
        <v>0</v>
      </c>
      <c r="AO37" s="20">
        <f t="shared" si="4"/>
        <v>0</v>
      </c>
      <c r="AP37" s="20">
        <f t="shared" si="4"/>
        <v>0</v>
      </c>
      <c r="AQ37" s="20">
        <f t="shared" si="4"/>
        <v>0</v>
      </c>
      <c r="AR37" s="28" t="s">
        <v>5</v>
      </c>
      <c r="AS37" s="153">
        <f>-PMT($H$20,$C$17,NPV($H$20,$D37:$AQ37)+$C37)/AS$33</f>
        <v>101.9594599377524</v>
      </c>
      <c r="AT37" s="153"/>
      <c r="AU37" s="153"/>
      <c r="AV37" s="153"/>
      <c r="AX37" s="172"/>
      <c r="AY37" s="172"/>
      <c r="AZ37" s="172"/>
      <c r="BB37" s="182"/>
      <c r="BC37" s="182"/>
      <c r="BD37" s="182"/>
    </row>
    <row r="38" spans="2:56" ht="12">
      <c r="B38" s="33"/>
      <c r="C38" s="179"/>
      <c r="D38" s="174"/>
      <c r="E38" s="179"/>
      <c r="F38" s="175"/>
      <c r="G38" s="175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80"/>
      <c r="AS38" s="153"/>
      <c r="AT38" s="153"/>
      <c r="AU38" s="153"/>
      <c r="AV38" s="153"/>
      <c r="AX38" s="172"/>
      <c r="AY38" s="172"/>
      <c r="AZ38" s="172"/>
      <c r="BB38" s="182"/>
      <c r="BC38" s="182"/>
      <c r="BD38" s="182"/>
    </row>
    <row r="39" spans="2:56" s="126" customFormat="1" ht="12">
      <c r="B39" s="33" t="s">
        <v>6</v>
      </c>
      <c r="C39" s="179"/>
      <c r="D39" s="183">
        <f>IF($C$17&gt;=D31,-$C$8*$C$20*1000)*(1+$C$21)^(D31)</f>
        <v>-14814.29094827586</v>
      </c>
      <c r="E39" s="183">
        <f aca="true" t="shared" si="5" ref="E39:AQ39">IF($C$17&gt;=E31,-$C$8*$C$20*1000)*(1+$C$21)^(E31)</f>
        <v>-15110.576767241377</v>
      </c>
      <c r="F39" s="183">
        <f t="shared" si="5"/>
        <v>-15412.788302586203</v>
      </c>
      <c r="G39" s="183">
        <f t="shared" si="5"/>
        <v>-15721.044068637928</v>
      </c>
      <c r="H39" s="183">
        <f t="shared" si="5"/>
        <v>-16035.464950010686</v>
      </c>
      <c r="I39" s="183">
        <f t="shared" si="5"/>
        <v>-16356.1742490109</v>
      </c>
      <c r="J39" s="183">
        <f t="shared" si="5"/>
        <v>-16683.297733991116</v>
      </c>
      <c r="K39" s="183">
        <f t="shared" si="5"/>
        <v>-17016.96368867094</v>
      </c>
      <c r="L39" s="183">
        <f t="shared" si="5"/>
        <v>-17357.30296244436</v>
      </c>
      <c r="M39" s="183">
        <f t="shared" si="5"/>
        <v>-17704.449021693246</v>
      </c>
      <c r="N39" s="183">
        <f t="shared" si="5"/>
        <v>-18058.53800212711</v>
      </c>
      <c r="O39" s="183">
        <f t="shared" si="5"/>
        <v>-18419.708762169652</v>
      </c>
      <c r="P39" s="183">
        <f t="shared" si="5"/>
        <v>-18788.102937413045</v>
      </c>
      <c r="Q39" s="183">
        <f t="shared" si="5"/>
        <v>-19163.86499616131</v>
      </c>
      <c r="R39" s="183">
        <f t="shared" si="5"/>
        <v>-19547.14229608453</v>
      </c>
      <c r="S39" s="183">
        <f t="shared" si="5"/>
        <v>-19938.085142006224</v>
      </c>
      <c r="T39" s="183">
        <f t="shared" si="5"/>
        <v>-20336.84684484635</v>
      </c>
      <c r="U39" s="183">
        <f t="shared" si="5"/>
        <v>-20743.583781743273</v>
      </c>
      <c r="V39" s="183">
        <f t="shared" si="5"/>
        <v>-21158.45545737814</v>
      </c>
      <c r="W39" s="183">
        <f t="shared" si="5"/>
        <v>-21581.624566525705</v>
      </c>
      <c r="X39" s="183">
        <f t="shared" si="5"/>
        <v>0</v>
      </c>
      <c r="Y39" s="183">
        <f t="shared" si="5"/>
        <v>0</v>
      </c>
      <c r="Z39" s="183">
        <f t="shared" si="5"/>
        <v>0</v>
      </c>
      <c r="AA39" s="183">
        <f t="shared" si="5"/>
        <v>0</v>
      </c>
      <c r="AB39" s="183">
        <f t="shared" si="5"/>
        <v>0</v>
      </c>
      <c r="AC39" s="183">
        <f t="shared" si="5"/>
        <v>0</v>
      </c>
      <c r="AD39" s="183">
        <f t="shared" si="5"/>
        <v>0</v>
      </c>
      <c r="AE39" s="183">
        <f t="shared" si="5"/>
        <v>0</v>
      </c>
      <c r="AF39" s="183">
        <f t="shared" si="5"/>
        <v>0</v>
      </c>
      <c r="AG39" s="183">
        <f t="shared" si="5"/>
        <v>0</v>
      </c>
      <c r="AH39" s="183">
        <f t="shared" si="5"/>
        <v>0</v>
      </c>
      <c r="AI39" s="183">
        <f t="shared" si="5"/>
        <v>0</v>
      </c>
      <c r="AJ39" s="183">
        <f t="shared" si="5"/>
        <v>0</v>
      </c>
      <c r="AK39" s="183">
        <f t="shared" si="5"/>
        <v>0</v>
      </c>
      <c r="AL39" s="183">
        <f t="shared" si="5"/>
        <v>0</v>
      </c>
      <c r="AM39" s="183">
        <f t="shared" si="5"/>
        <v>0</v>
      </c>
      <c r="AN39" s="183">
        <f t="shared" si="5"/>
        <v>0</v>
      </c>
      <c r="AO39" s="183">
        <f t="shared" si="5"/>
        <v>0</v>
      </c>
      <c r="AP39" s="183">
        <f t="shared" si="5"/>
        <v>0</v>
      </c>
      <c r="AQ39" s="183">
        <f t="shared" si="5"/>
        <v>0</v>
      </c>
      <c r="AR39" s="180" t="s">
        <v>6</v>
      </c>
      <c r="AS39" s="153">
        <f>-PMT($H$20,$C$17,NPV($H$20,$D39:$AQ39)+$C39)/AS$33</f>
        <v>-25.858751912407772</v>
      </c>
      <c r="AT39" s="153"/>
      <c r="AU39" s="153"/>
      <c r="AV39" s="153"/>
      <c r="AX39" s="172"/>
      <c r="AY39" s="172"/>
      <c r="AZ39" s="172"/>
      <c r="BB39" s="182"/>
      <c r="BC39" s="182"/>
      <c r="BD39" s="182"/>
    </row>
    <row r="40" spans="2:56" ht="12">
      <c r="B40" s="12" t="s">
        <v>95</v>
      </c>
      <c r="C40" s="175"/>
      <c r="D40" s="184">
        <f>D112</f>
        <v>-14523.814655172411</v>
      </c>
      <c r="E40" s="184">
        <f aca="true" t="shared" si="6" ref="E40:AQ40">E112</f>
        <v>-14523.814655172411</v>
      </c>
      <c r="F40" s="184">
        <f t="shared" si="6"/>
        <v>-14523.814655172411</v>
      </c>
      <c r="G40" s="184">
        <f t="shared" si="6"/>
        <v>-14523.814655172411</v>
      </c>
      <c r="H40" s="184">
        <f t="shared" si="6"/>
        <v>-14523.814655172411</v>
      </c>
      <c r="I40" s="184">
        <f t="shared" si="6"/>
        <v>-14523.814655172411</v>
      </c>
      <c r="J40" s="184">
        <f t="shared" si="6"/>
        <v>-14523.814655172411</v>
      </c>
      <c r="K40" s="184">
        <f t="shared" si="6"/>
        <v>-14523.814655172411</v>
      </c>
      <c r="L40" s="184">
        <f t="shared" si="6"/>
        <v>-14523.814655172411</v>
      </c>
      <c r="M40" s="184">
        <f t="shared" si="6"/>
        <v>-14523.814655172411</v>
      </c>
      <c r="N40" s="184">
        <f t="shared" si="6"/>
        <v>-14523.814655172411</v>
      </c>
      <c r="O40" s="184">
        <f t="shared" si="6"/>
        <v>-14523.814655172411</v>
      </c>
      <c r="P40" s="184">
        <f t="shared" si="6"/>
        <v>-14523.814655172411</v>
      </c>
      <c r="Q40" s="184">
        <f t="shared" si="6"/>
        <v>-14523.814655172411</v>
      </c>
      <c r="R40" s="184">
        <f t="shared" si="6"/>
        <v>-14523.814655172411</v>
      </c>
      <c r="S40" s="184">
        <f t="shared" si="6"/>
        <v>-14523.814655172411</v>
      </c>
      <c r="T40" s="184">
        <f t="shared" si="6"/>
        <v>-14523.814655172411</v>
      </c>
      <c r="U40" s="184">
        <f t="shared" si="6"/>
        <v>-14523.814655172411</v>
      </c>
      <c r="V40" s="184">
        <f t="shared" si="6"/>
        <v>-14523.814655172411</v>
      </c>
      <c r="W40" s="184">
        <f t="shared" si="6"/>
        <v>-14523.81465517247</v>
      </c>
      <c r="X40" s="184">
        <f t="shared" si="6"/>
        <v>0</v>
      </c>
      <c r="Y40" s="184">
        <f t="shared" si="6"/>
        <v>0</v>
      </c>
      <c r="Z40" s="184">
        <f t="shared" si="6"/>
        <v>0</v>
      </c>
      <c r="AA40" s="184">
        <f t="shared" si="6"/>
        <v>0</v>
      </c>
      <c r="AB40" s="184">
        <f t="shared" si="6"/>
        <v>0</v>
      </c>
      <c r="AC40" s="184">
        <f t="shared" si="6"/>
        <v>0</v>
      </c>
      <c r="AD40" s="184">
        <f t="shared" si="6"/>
        <v>0</v>
      </c>
      <c r="AE40" s="184">
        <f t="shared" si="6"/>
        <v>0</v>
      </c>
      <c r="AF40" s="184">
        <f t="shared" si="6"/>
        <v>0</v>
      </c>
      <c r="AG40" s="184">
        <f t="shared" si="6"/>
        <v>0</v>
      </c>
      <c r="AH40" s="184">
        <f t="shared" si="6"/>
        <v>0</v>
      </c>
      <c r="AI40" s="184">
        <f t="shared" si="6"/>
        <v>0</v>
      </c>
      <c r="AJ40" s="184">
        <f t="shared" si="6"/>
        <v>0</v>
      </c>
      <c r="AK40" s="184">
        <f t="shared" si="6"/>
        <v>0</v>
      </c>
      <c r="AL40" s="184">
        <f t="shared" si="6"/>
        <v>0</v>
      </c>
      <c r="AM40" s="184">
        <f t="shared" si="6"/>
        <v>0</v>
      </c>
      <c r="AN40" s="184">
        <f t="shared" si="6"/>
        <v>0</v>
      </c>
      <c r="AO40" s="184">
        <f t="shared" si="6"/>
        <v>0</v>
      </c>
      <c r="AP40" s="184">
        <f t="shared" si="6"/>
        <v>0</v>
      </c>
      <c r="AQ40" s="184">
        <f t="shared" si="6"/>
        <v>0</v>
      </c>
      <c r="AR40" s="177" t="s">
        <v>96</v>
      </c>
      <c r="AS40" s="153">
        <f>-PMT($H$20,$C$17,NPV($H$20,$D40:$AQ40)+$C40)/AS$33</f>
        <v>-20.86786987315256</v>
      </c>
      <c r="AT40" s="153"/>
      <c r="AU40" s="153"/>
      <c r="AV40" s="153"/>
      <c r="AX40" s="172"/>
      <c r="AY40" s="172"/>
      <c r="AZ40" s="172"/>
      <c r="BB40" s="182"/>
      <c r="BC40" s="182"/>
      <c r="BD40" s="182"/>
    </row>
    <row r="41" spans="2:56" ht="12">
      <c r="B41" s="12" t="s">
        <v>7</v>
      </c>
      <c r="C41" s="175"/>
      <c r="D41" s="184">
        <f>IF($C$17&gt;=D31,-$C$26*$C$8*1000*(1+$C$27)^(D31),0)</f>
        <v>-14814.29094827586</v>
      </c>
      <c r="E41" s="184">
        <f aca="true" t="shared" si="7" ref="E41:AQ41">IF($C$17&gt;=E31,-$C$26*$C$8*1000*(1+$C$27)^(E31),0)</f>
        <v>-15110.576767241377</v>
      </c>
      <c r="F41" s="184">
        <f t="shared" si="7"/>
        <v>-15412.788302586203</v>
      </c>
      <c r="G41" s="184">
        <f t="shared" si="7"/>
        <v>-15721.044068637928</v>
      </c>
      <c r="H41" s="184">
        <f t="shared" si="7"/>
        <v>-16035.464950010686</v>
      </c>
      <c r="I41" s="184">
        <f t="shared" si="7"/>
        <v>-16356.1742490109</v>
      </c>
      <c r="J41" s="184">
        <f t="shared" si="7"/>
        <v>-16683.297733991116</v>
      </c>
      <c r="K41" s="184">
        <f t="shared" si="7"/>
        <v>-17016.96368867094</v>
      </c>
      <c r="L41" s="184">
        <f t="shared" si="7"/>
        <v>-17357.30296244436</v>
      </c>
      <c r="M41" s="184">
        <f t="shared" si="7"/>
        <v>-17704.449021693246</v>
      </c>
      <c r="N41" s="184">
        <f t="shared" si="7"/>
        <v>-18058.53800212711</v>
      </c>
      <c r="O41" s="184">
        <f t="shared" si="7"/>
        <v>-18419.708762169652</v>
      </c>
      <c r="P41" s="184">
        <f t="shared" si="7"/>
        <v>-18788.102937413045</v>
      </c>
      <c r="Q41" s="184">
        <f t="shared" si="7"/>
        <v>-19163.86499616131</v>
      </c>
      <c r="R41" s="184">
        <f t="shared" si="7"/>
        <v>-19547.14229608453</v>
      </c>
      <c r="S41" s="184">
        <f t="shared" si="7"/>
        <v>-19938.085142006224</v>
      </c>
      <c r="T41" s="184">
        <f t="shared" si="7"/>
        <v>-20336.84684484635</v>
      </c>
      <c r="U41" s="184">
        <f t="shared" si="7"/>
        <v>-20743.583781743273</v>
      </c>
      <c r="V41" s="184">
        <f t="shared" si="7"/>
        <v>-21158.45545737814</v>
      </c>
      <c r="W41" s="184">
        <f t="shared" si="7"/>
        <v>-21581.624566525705</v>
      </c>
      <c r="X41" s="184">
        <f t="shared" si="7"/>
        <v>0</v>
      </c>
      <c r="Y41" s="184">
        <f t="shared" si="7"/>
        <v>0</v>
      </c>
      <c r="Z41" s="184">
        <f t="shared" si="7"/>
        <v>0</v>
      </c>
      <c r="AA41" s="184">
        <f t="shared" si="7"/>
        <v>0</v>
      </c>
      <c r="AB41" s="184">
        <f t="shared" si="7"/>
        <v>0</v>
      </c>
      <c r="AC41" s="184">
        <f t="shared" si="7"/>
        <v>0</v>
      </c>
      <c r="AD41" s="184">
        <f t="shared" si="7"/>
        <v>0</v>
      </c>
      <c r="AE41" s="184">
        <f t="shared" si="7"/>
        <v>0</v>
      </c>
      <c r="AF41" s="184">
        <f t="shared" si="7"/>
        <v>0</v>
      </c>
      <c r="AG41" s="184">
        <f t="shared" si="7"/>
        <v>0</v>
      </c>
      <c r="AH41" s="184">
        <f t="shared" si="7"/>
        <v>0</v>
      </c>
      <c r="AI41" s="184">
        <f t="shared" si="7"/>
        <v>0</v>
      </c>
      <c r="AJ41" s="184">
        <f t="shared" si="7"/>
        <v>0</v>
      </c>
      <c r="AK41" s="184">
        <f t="shared" si="7"/>
        <v>0</v>
      </c>
      <c r="AL41" s="184">
        <f t="shared" si="7"/>
        <v>0</v>
      </c>
      <c r="AM41" s="184">
        <f t="shared" si="7"/>
        <v>0</v>
      </c>
      <c r="AN41" s="184">
        <f t="shared" si="7"/>
        <v>0</v>
      </c>
      <c r="AO41" s="184">
        <f t="shared" si="7"/>
        <v>0</v>
      </c>
      <c r="AP41" s="184">
        <f t="shared" si="7"/>
        <v>0</v>
      </c>
      <c r="AQ41" s="184">
        <f t="shared" si="7"/>
        <v>0</v>
      </c>
      <c r="AR41" s="177" t="s">
        <v>7</v>
      </c>
      <c r="AS41" s="153">
        <f>-PMT($H$20,$C$17,NPV($H$20,$D41:$AQ41)+$C41)/AS$33</f>
        <v>-25.858751912407772</v>
      </c>
      <c r="AT41" s="153"/>
      <c r="AU41" s="153"/>
      <c r="AV41" s="153"/>
      <c r="AX41" s="172"/>
      <c r="AY41" s="172"/>
      <c r="AZ41" s="172"/>
      <c r="BB41" s="182"/>
      <c r="BC41" s="182"/>
      <c r="BD41" s="182"/>
    </row>
    <row r="42" spans="2:56" ht="12">
      <c r="B42" s="9" t="s">
        <v>8</v>
      </c>
      <c r="C42" s="23"/>
      <c r="D42" s="23">
        <f aca="true" t="shared" si="8" ref="D42:AQ42">SUM(D39:D41)</f>
        <v>-44152.39655172413</v>
      </c>
      <c r="E42" s="23">
        <f t="shared" si="8"/>
        <v>-44744.96818965516</v>
      </c>
      <c r="F42" s="23">
        <f t="shared" si="8"/>
        <v>-45349.39126034482</v>
      </c>
      <c r="G42" s="23">
        <f t="shared" si="8"/>
        <v>-45965.902792448265</v>
      </c>
      <c r="H42" s="23">
        <f t="shared" si="8"/>
        <v>-46594.744555193785</v>
      </c>
      <c r="I42" s="23">
        <f t="shared" si="8"/>
        <v>-47236.16315319421</v>
      </c>
      <c r="J42" s="23">
        <f t="shared" si="8"/>
        <v>-47890.410123154645</v>
      </c>
      <c r="K42" s="23">
        <f t="shared" si="8"/>
        <v>-48557.742032514296</v>
      </c>
      <c r="L42" s="23">
        <f t="shared" si="8"/>
        <v>-49238.42058006113</v>
      </c>
      <c r="M42" s="23">
        <f t="shared" si="8"/>
        <v>-49932.712698558906</v>
      </c>
      <c r="N42" s="23">
        <f t="shared" si="8"/>
        <v>-50640.89065942663</v>
      </c>
      <c r="O42" s="23">
        <f t="shared" si="8"/>
        <v>-51363.23217951172</v>
      </c>
      <c r="P42" s="23">
        <f t="shared" si="8"/>
        <v>-52100.0205299985</v>
      </c>
      <c r="Q42" s="23">
        <f t="shared" si="8"/>
        <v>-52851.54464749503</v>
      </c>
      <c r="R42" s="23">
        <f t="shared" si="8"/>
        <v>-53618.09924734147</v>
      </c>
      <c r="S42" s="23">
        <f t="shared" si="8"/>
        <v>-54399.98493918486</v>
      </c>
      <c r="T42" s="23">
        <f t="shared" si="8"/>
        <v>-55197.50834486511</v>
      </c>
      <c r="U42" s="23">
        <f t="shared" si="8"/>
        <v>-56010.98221865896</v>
      </c>
      <c r="V42" s="23">
        <f t="shared" si="8"/>
        <v>-56840.72556992869</v>
      </c>
      <c r="W42" s="23">
        <f t="shared" si="8"/>
        <v>-57687.06378822388</v>
      </c>
      <c r="X42" s="23">
        <f t="shared" si="8"/>
        <v>0</v>
      </c>
      <c r="Y42" s="23">
        <f t="shared" si="8"/>
        <v>0</v>
      </c>
      <c r="Z42" s="23">
        <f t="shared" si="8"/>
        <v>0</v>
      </c>
      <c r="AA42" s="23">
        <f t="shared" si="8"/>
        <v>0</v>
      </c>
      <c r="AB42" s="23">
        <f t="shared" si="8"/>
        <v>0</v>
      </c>
      <c r="AC42" s="23">
        <f t="shared" si="8"/>
        <v>0</v>
      </c>
      <c r="AD42" s="23">
        <f t="shared" si="8"/>
        <v>0</v>
      </c>
      <c r="AE42" s="23">
        <f t="shared" si="8"/>
        <v>0</v>
      </c>
      <c r="AF42" s="23">
        <f t="shared" si="8"/>
        <v>0</v>
      </c>
      <c r="AG42" s="23">
        <f t="shared" si="8"/>
        <v>0</v>
      </c>
      <c r="AH42" s="23">
        <f t="shared" si="8"/>
        <v>0</v>
      </c>
      <c r="AI42" s="23">
        <f t="shared" si="8"/>
        <v>0</v>
      </c>
      <c r="AJ42" s="23">
        <f t="shared" si="8"/>
        <v>0</v>
      </c>
      <c r="AK42" s="23">
        <f t="shared" si="8"/>
        <v>0</v>
      </c>
      <c r="AL42" s="23">
        <f t="shared" si="8"/>
        <v>0</v>
      </c>
      <c r="AM42" s="23">
        <f t="shared" si="8"/>
        <v>0</v>
      </c>
      <c r="AN42" s="23">
        <f t="shared" si="8"/>
        <v>0</v>
      </c>
      <c r="AO42" s="23">
        <f t="shared" si="8"/>
        <v>0</v>
      </c>
      <c r="AP42" s="23">
        <f t="shared" si="8"/>
        <v>0</v>
      </c>
      <c r="AQ42" s="23">
        <f t="shared" si="8"/>
        <v>0</v>
      </c>
      <c r="AR42" s="21" t="s">
        <v>8</v>
      </c>
      <c r="AS42" s="153">
        <f>-PMT($H$20,$C$17,NPV($H$20,$D42:$AQ42)+$C42)/AS$33</f>
        <v>-72.58537369796814</v>
      </c>
      <c r="AT42" s="153"/>
      <c r="AU42" s="153"/>
      <c r="AV42" s="153"/>
      <c r="AX42" s="172"/>
      <c r="AY42" s="172"/>
      <c r="AZ42" s="172"/>
      <c r="BB42" s="182"/>
      <c r="BC42" s="182"/>
      <c r="BD42" s="182"/>
    </row>
    <row r="43" spans="2:56" ht="12">
      <c r="B43" s="1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9"/>
      <c r="AS43" s="153"/>
      <c r="AT43" s="153"/>
      <c r="AU43" s="153"/>
      <c r="AV43" s="153"/>
      <c r="AX43" s="172"/>
      <c r="AY43" s="172"/>
      <c r="AZ43" s="172"/>
      <c r="BB43" s="182"/>
      <c r="BC43" s="182"/>
      <c r="BD43" s="182"/>
    </row>
    <row r="44" spans="2:56" ht="12">
      <c r="B44" s="8" t="s">
        <v>47</v>
      </c>
      <c r="C44" s="22"/>
      <c r="D44" s="22">
        <f>D37+D42</f>
        <v>81374.32412306483</v>
      </c>
      <c r="E44" s="22">
        <f aca="true" t="shared" si="9" ref="E44:AQ44">E37+E42</f>
        <v>80411.33948046903</v>
      </c>
      <c r="F44" s="22">
        <f t="shared" si="9"/>
        <v>79440.58553908463</v>
      </c>
      <c r="G44" s="22">
        <f t="shared" si="9"/>
        <v>78461.80105880048</v>
      </c>
      <c r="H44" s="22">
        <f t="shared" si="9"/>
        <v>77474.7202411975</v>
      </c>
      <c r="I44" s="22">
        <f t="shared" si="9"/>
        <v>4703.818478337576</v>
      </c>
      <c r="J44" s="22">
        <f t="shared" si="9"/>
        <v>4201.755654557535</v>
      </c>
      <c r="K44" s="22">
        <f t="shared" si="9"/>
        <v>3687.0537909265768</v>
      </c>
      <c r="L44" s="22">
        <f t="shared" si="9"/>
        <v>3159.4524951424246</v>
      </c>
      <c r="M44" s="22">
        <f t="shared" si="9"/>
        <v>2618.686144754989</v>
      </c>
      <c r="N44" s="22">
        <f t="shared" si="9"/>
        <v>2064.4837824981732</v>
      </c>
      <c r="O44" s="22">
        <f t="shared" si="9"/>
        <v>1496.5690095279278</v>
      </c>
      <c r="P44" s="22">
        <f t="shared" si="9"/>
        <v>914.659876525031</v>
      </c>
      <c r="Q44" s="22">
        <f t="shared" si="9"/>
        <v>318.4687726196207</v>
      </c>
      <c r="R44" s="22">
        <f t="shared" si="9"/>
        <v>-292.29768790588423</v>
      </c>
      <c r="S44" s="22">
        <f t="shared" si="9"/>
        <v>-917.938781180128</v>
      </c>
      <c r="T44" s="22">
        <f t="shared" si="9"/>
        <v>-1558.7597916174273</v>
      </c>
      <c r="U44" s="22">
        <f t="shared" si="9"/>
        <v>-2215.072132150264</v>
      </c>
      <c r="V44" s="22">
        <f t="shared" si="9"/>
        <v>-2887.19346686652</v>
      </c>
      <c r="W44" s="22">
        <f t="shared" si="9"/>
        <v>-3575.447836099738</v>
      </c>
      <c r="X44" s="22">
        <f t="shared" si="9"/>
        <v>0</v>
      </c>
      <c r="Y44" s="22">
        <f t="shared" si="9"/>
        <v>0</v>
      </c>
      <c r="Z44" s="22">
        <f t="shared" si="9"/>
        <v>0</v>
      </c>
      <c r="AA44" s="22">
        <f t="shared" si="9"/>
        <v>0</v>
      </c>
      <c r="AB44" s="22">
        <f t="shared" si="9"/>
        <v>0</v>
      </c>
      <c r="AC44" s="22">
        <f t="shared" si="9"/>
        <v>0</v>
      </c>
      <c r="AD44" s="22">
        <f t="shared" si="9"/>
        <v>0</v>
      </c>
      <c r="AE44" s="22">
        <f t="shared" si="9"/>
        <v>0</v>
      </c>
      <c r="AF44" s="22">
        <f t="shared" si="9"/>
        <v>0</v>
      </c>
      <c r="AG44" s="22">
        <f t="shared" si="9"/>
        <v>0</v>
      </c>
      <c r="AH44" s="22">
        <f t="shared" si="9"/>
        <v>0</v>
      </c>
      <c r="AI44" s="22">
        <f t="shared" si="9"/>
        <v>0</v>
      </c>
      <c r="AJ44" s="22">
        <f t="shared" si="9"/>
        <v>0</v>
      </c>
      <c r="AK44" s="22">
        <f t="shared" si="9"/>
        <v>0</v>
      </c>
      <c r="AL44" s="22">
        <f t="shared" si="9"/>
        <v>0</v>
      </c>
      <c r="AM44" s="22">
        <f t="shared" si="9"/>
        <v>0</v>
      </c>
      <c r="AN44" s="22">
        <f t="shared" si="9"/>
        <v>0</v>
      </c>
      <c r="AO44" s="22">
        <f t="shared" si="9"/>
        <v>0</v>
      </c>
      <c r="AP44" s="22">
        <f t="shared" si="9"/>
        <v>0</v>
      </c>
      <c r="AQ44" s="22">
        <f t="shared" si="9"/>
        <v>0</v>
      </c>
      <c r="AR44" s="30" t="s">
        <v>47</v>
      </c>
      <c r="AS44" s="153">
        <f aca="true" t="shared" si="10" ref="AS44:AS49">-PMT($H$20,$C$17,NPV($H$20,$D44:$AQ44)+$C44)/AS$33</f>
        <v>29.374086239784283</v>
      </c>
      <c r="AT44" s="153"/>
      <c r="AU44" s="153"/>
      <c r="AV44" s="153"/>
      <c r="AX44" s="172"/>
      <c r="AY44" s="172"/>
      <c r="AZ44" s="172"/>
      <c r="BB44" s="182"/>
      <c r="BC44" s="182"/>
      <c r="BD44" s="182"/>
    </row>
    <row r="45" spans="2:56" s="126" customFormat="1" ht="12">
      <c r="B45" s="126" t="s">
        <v>16</v>
      </c>
      <c r="C45" s="185"/>
      <c r="D45" s="184">
        <f>-D99</f>
        <v>0</v>
      </c>
      <c r="E45" s="184">
        <f aca="true" t="shared" si="11" ref="E45:AQ45">-E99</f>
        <v>0</v>
      </c>
      <c r="F45" s="184">
        <f t="shared" si="11"/>
        <v>0</v>
      </c>
      <c r="G45" s="184">
        <f t="shared" si="11"/>
        <v>0</v>
      </c>
      <c r="H45" s="184">
        <f t="shared" si="11"/>
        <v>0</v>
      </c>
      <c r="I45" s="184">
        <f t="shared" si="11"/>
        <v>0</v>
      </c>
      <c r="J45" s="184">
        <f t="shared" si="11"/>
        <v>0</v>
      </c>
      <c r="K45" s="184">
        <f t="shared" si="11"/>
        <v>0</v>
      </c>
      <c r="L45" s="184">
        <f t="shared" si="11"/>
        <v>0</v>
      </c>
      <c r="M45" s="184">
        <f t="shared" si="11"/>
        <v>0</v>
      </c>
      <c r="N45" s="184">
        <f t="shared" si="11"/>
        <v>0</v>
      </c>
      <c r="O45" s="184">
        <f t="shared" si="11"/>
        <v>0</v>
      </c>
      <c r="P45" s="184">
        <f t="shared" si="11"/>
        <v>0</v>
      </c>
      <c r="Q45" s="184">
        <f t="shared" si="11"/>
        <v>0</v>
      </c>
      <c r="R45" s="184">
        <f t="shared" si="11"/>
        <v>0</v>
      </c>
      <c r="S45" s="184">
        <f t="shared" si="11"/>
        <v>0</v>
      </c>
      <c r="T45" s="184">
        <f t="shared" si="11"/>
        <v>0</v>
      </c>
      <c r="U45" s="184">
        <f t="shared" si="11"/>
        <v>0</v>
      </c>
      <c r="V45" s="184">
        <f t="shared" si="11"/>
        <v>0</v>
      </c>
      <c r="W45" s="184">
        <f t="shared" si="11"/>
        <v>0</v>
      </c>
      <c r="X45" s="184">
        <f t="shared" si="11"/>
        <v>0</v>
      </c>
      <c r="Y45" s="184">
        <f t="shared" si="11"/>
        <v>0</v>
      </c>
      <c r="Z45" s="184">
        <f t="shared" si="11"/>
        <v>0</v>
      </c>
      <c r="AA45" s="184">
        <f t="shared" si="11"/>
        <v>0</v>
      </c>
      <c r="AB45" s="184">
        <f t="shared" si="11"/>
        <v>0</v>
      </c>
      <c r="AC45" s="184">
        <f t="shared" si="11"/>
        <v>0</v>
      </c>
      <c r="AD45" s="184">
        <f t="shared" si="11"/>
        <v>0</v>
      </c>
      <c r="AE45" s="184">
        <f t="shared" si="11"/>
        <v>0</v>
      </c>
      <c r="AF45" s="184">
        <f t="shared" si="11"/>
        <v>0</v>
      </c>
      <c r="AG45" s="184">
        <f t="shared" si="11"/>
        <v>0</v>
      </c>
      <c r="AH45" s="184">
        <f t="shared" si="11"/>
        <v>0</v>
      </c>
      <c r="AI45" s="184">
        <f t="shared" si="11"/>
        <v>0</v>
      </c>
      <c r="AJ45" s="184">
        <f t="shared" si="11"/>
        <v>0</v>
      </c>
      <c r="AK45" s="184">
        <f t="shared" si="11"/>
        <v>0</v>
      </c>
      <c r="AL45" s="184">
        <f t="shared" si="11"/>
        <v>0</v>
      </c>
      <c r="AM45" s="184">
        <f t="shared" si="11"/>
        <v>0</v>
      </c>
      <c r="AN45" s="184">
        <f t="shared" si="11"/>
        <v>0</v>
      </c>
      <c r="AO45" s="184">
        <f t="shared" si="11"/>
        <v>0</v>
      </c>
      <c r="AP45" s="184">
        <f t="shared" si="11"/>
        <v>0</v>
      </c>
      <c r="AQ45" s="184">
        <f t="shared" si="11"/>
        <v>0</v>
      </c>
      <c r="AR45" s="173" t="s">
        <v>16</v>
      </c>
      <c r="AS45" s="153">
        <f t="shared" si="10"/>
        <v>0</v>
      </c>
      <c r="AT45" s="153"/>
      <c r="AU45" s="153"/>
      <c r="AV45" s="153"/>
      <c r="AX45" s="172"/>
      <c r="AY45" s="172"/>
      <c r="AZ45" s="172"/>
      <c r="BB45" s="182"/>
      <c r="BC45" s="182"/>
      <c r="BD45" s="182"/>
    </row>
    <row r="46" spans="2:56" s="126" customFormat="1" ht="12">
      <c r="B46" s="12" t="s">
        <v>73</v>
      </c>
      <c r="C46" s="26"/>
      <c r="D46" s="184">
        <f>-D101</f>
        <v>0</v>
      </c>
      <c r="E46" s="184">
        <f aca="true" t="shared" si="12" ref="E46:AQ46">-E101</f>
        <v>0</v>
      </c>
      <c r="F46" s="184">
        <f t="shared" si="12"/>
        <v>0</v>
      </c>
      <c r="G46" s="184">
        <f t="shared" si="12"/>
        <v>0</v>
      </c>
      <c r="H46" s="184">
        <f t="shared" si="12"/>
        <v>0</v>
      </c>
      <c r="I46" s="184">
        <f t="shared" si="12"/>
        <v>0</v>
      </c>
      <c r="J46" s="184">
        <f t="shared" si="12"/>
        <v>0</v>
      </c>
      <c r="K46" s="184">
        <f t="shared" si="12"/>
        <v>0</v>
      </c>
      <c r="L46" s="184">
        <f t="shared" si="12"/>
        <v>0</v>
      </c>
      <c r="M46" s="184">
        <f t="shared" si="12"/>
        <v>0</v>
      </c>
      <c r="N46" s="184">
        <f t="shared" si="12"/>
        <v>0</v>
      </c>
      <c r="O46" s="184">
        <f t="shared" si="12"/>
        <v>0</v>
      </c>
      <c r="P46" s="184">
        <f t="shared" si="12"/>
        <v>0</v>
      </c>
      <c r="Q46" s="184">
        <f t="shared" si="12"/>
        <v>0</v>
      </c>
      <c r="R46" s="184">
        <f t="shared" si="12"/>
        <v>0</v>
      </c>
      <c r="S46" s="184">
        <f t="shared" si="12"/>
        <v>0</v>
      </c>
      <c r="T46" s="184">
        <f t="shared" si="12"/>
        <v>0</v>
      </c>
      <c r="U46" s="184">
        <f t="shared" si="12"/>
        <v>0</v>
      </c>
      <c r="V46" s="184">
        <f t="shared" si="12"/>
        <v>0</v>
      </c>
      <c r="W46" s="184">
        <f t="shared" si="12"/>
        <v>0</v>
      </c>
      <c r="X46" s="184">
        <f t="shared" si="12"/>
        <v>0</v>
      </c>
      <c r="Y46" s="184">
        <f t="shared" si="12"/>
        <v>0</v>
      </c>
      <c r="Z46" s="184">
        <f t="shared" si="12"/>
        <v>0</v>
      </c>
      <c r="AA46" s="184">
        <f t="shared" si="12"/>
        <v>0</v>
      </c>
      <c r="AB46" s="184">
        <f t="shared" si="12"/>
        <v>0</v>
      </c>
      <c r="AC46" s="184">
        <f t="shared" si="12"/>
        <v>0</v>
      </c>
      <c r="AD46" s="184">
        <f t="shared" si="12"/>
        <v>0</v>
      </c>
      <c r="AE46" s="184">
        <f t="shared" si="12"/>
        <v>0</v>
      </c>
      <c r="AF46" s="184">
        <f t="shared" si="12"/>
        <v>0</v>
      </c>
      <c r="AG46" s="184">
        <f t="shared" si="12"/>
        <v>0</v>
      </c>
      <c r="AH46" s="184">
        <f t="shared" si="12"/>
        <v>0</v>
      </c>
      <c r="AI46" s="184">
        <f t="shared" si="12"/>
        <v>0</v>
      </c>
      <c r="AJ46" s="184">
        <f t="shared" si="12"/>
        <v>0</v>
      </c>
      <c r="AK46" s="184">
        <f t="shared" si="12"/>
        <v>0</v>
      </c>
      <c r="AL46" s="184">
        <f t="shared" si="12"/>
        <v>0</v>
      </c>
      <c r="AM46" s="184">
        <f t="shared" si="12"/>
        <v>0</v>
      </c>
      <c r="AN46" s="184">
        <f t="shared" si="12"/>
        <v>0</v>
      </c>
      <c r="AO46" s="184">
        <f t="shared" si="12"/>
        <v>0</v>
      </c>
      <c r="AP46" s="184">
        <f t="shared" si="12"/>
        <v>0</v>
      </c>
      <c r="AQ46" s="184">
        <f t="shared" si="12"/>
        <v>0</v>
      </c>
      <c r="AR46" s="177" t="s">
        <v>73</v>
      </c>
      <c r="AS46" s="153">
        <f t="shared" si="10"/>
        <v>0</v>
      </c>
      <c r="AT46" s="153"/>
      <c r="AU46" s="153"/>
      <c r="AV46" s="153"/>
      <c r="AX46" s="172"/>
      <c r="AY46" s="172"/>
      <c r="AZ46" s="172"/>
      <c r="BB46" s="182"/>
      <c r="BC46" s="182"/>
      <c r="BD46" s="182"/>
    </row>
    <row r="47" spans="2:56" s="126" customFormat="1" ht="12">
      <c r="B47" s="12" t="s">
        <v>49</v>
      </c>
      <c r="C47" s="184"/>
      <c r="D47" s="184">
        <f aca="true" t="shared" si="13" ref="D47:AQ47">$C$9*(IF(D95=0,-1,IF(D95=$H$19,1,0)))</f>
        <v>0</v>
      </c>
      <c r="E47" s="184">
        <f t="shared" si="13"/>
        <v>0</v>
      </c>
      <c r="F47" s="184">
        <f t="shared" si="13"/>
        <v>0</v>
      </c>
      <c r="G47" s="184">
        <f t="shared" si="13"/>
        <v>0</v>
      </c>
      <c r="H47" s="184">
        <f t="shared" si="13"/>
        <v>0</v>
      </c>
      <c r="I47" s="184">
        <f t="shared" si="13"/>
        <v>0</v>
      </c>
      <c r="J47" s="184">
        <f t="shared" si="13"/>
        <v>0</v>
      </c>
      <c r="K47" s="184">
        <f t="shared" si="13"/>
        <v>0</v>
      </c>
      <c r="L47" s="184">
        <f t="shared" si="13"/>
        <v>0</v>
      </c>
      <c r="M47" s="184">
        <f t="shared" si="13"/>
        <v>0</v>
      </c>
      <c r="N47" s="184">
        <f t="shared" si="13"/>
        <v>0</v>
      </c>
      <c r="O47" s="184">
        <f t="shared" si="13"/>
        <v>0</v>
      </c>
      <c r="P47" s="184">
        <f t="shared" si="13"/>
        <v>0</v>
      </c>
      <c r="Q47" s="184">
        <f t="shared" si="13"/>
        <v>0</v>
      </c>
      <c r="R47" s="184">
        <f t="shared" si="13"/>
        <v>0</v>
      </c>
      <c r="S47" s="184">
        <f t="shared" si="13"/>
        <v>0</v>
      </c>
      <c r="T47" s="184">
        <f t="shared" si="13"/>
        <v>0</v>
      </c>
      <c r="U47" s="184">
        <f t="shared" si="13"/>
        <v>0</v>
      </c>
      <c r="V47" s="184">
        <f t="shared" si="13"/>
        <v>0</v>
      </c>
      <c r="W47" s="184">
        <f t="shared" si="13"/>
        <v>0</v>
      </c>
      <c r="X47" s="184">
        <f t="shared" si="13"/>
        <v>0</v>
      </c>
      <c r="Y47" s="184">
        <f t="shared" si="13"/>
        <v>0</v>
      </c>
      <c r="Z47" s="184">
        <f t="shared" si="13"/>
        <v>0</v>
      </c>
      <c r="AA47" s="184">
        <f t="shared" si="13"/>
        <v>0</v>
      </c>
      <c r="AB47" s="184">
        <f t="shared" si="13"/>
        <v>0</v>
      </c>
      <c r="AC47" s="184">
        <f t="shared" si="13"/>
        <v>0</v>
      </c>
      <c r="AD47" s="184">
        <f t="shared" si="13"/>
        <v>0</v>
      </c>
      <c r="AE47" s="184">
        <f t="shared" si="13"/>
        <v>0</v>
      </c>
      <c r="AF47" s="184">
        <f t="shared" si="13"/>
        <v>0</v>
      </c>
      <c r="AG47" s="184">
        <f t="shared" si="13"/>
        <v>0</v>
      </c>
      <c r="AH47" s="184">
        <f t="shared" si="13"/>
        <v>0</v>
      </c>
      <c r="AI47" s="184">
        <f t="shared" si="13"/>
        <v>0</v>
      </c>
      <c r="AJ47" s="184">
        <f t="shared" si="13"/>
        <v>0</v>
      </c>
      <c r="AK47" s="184">
        <f t="shared" si="13"/>
        <v>0</v>
      </c>
      <c r="AL47" s="184">
        <f t="shared" si="13"/>
        <v>0</v>
      </c>
      <c r="AM47" s="184">
        <f t="shared" si="13"/>
        <v>0</v>
      </c>
      <c r="AN47" s="184">
        <f t="shared" si="13"/>
        <v>0</v>
      </c>
      <c r="AO47" s="184">
        <f t="shared" si="13"/>
        <v>0</v>
      </c>
      <c r="AP47" s="184">
        <f t="shared" si="13"/>
        <v>0</v>
      </c>
      <c r="AQ47" s="184">
        <f t="shared" si="13"/>
        <v>0</v>
      </c>
      <c r="AR47" s="177" t="s">
        <v>49</v>
      </c>
      <c r="AS47" s="153">
        <f t="shared" si="10"/>
        <v>0</v>
      </c>
      <c r="AT47" s="153"/>
      <c r="AU47" s="153"/>
      <c r="AV47" s="153"/>
      <c r="AX47" s="172"/>
      <c r="AY47" s="172"/>
      <c r="AZ47" s="172"/>
      <c r="BB47" s="182"/>
      <c r="BC47" s="182"/>
      <c r="BD47" s="182"/>
    </row>
    <row r="48" spans="2:56" s="126" customFormat="1" ht="12">
      <c r="B48" s="12" t="s">
        <v>67</v>
      </c>
      <c r="C48" s="184"/>
      <c r="D48" s="184">
        <f>D127</f>
        <v>0</v>
      </c>
      <c r="E48" s="184">
        <f aca="true" t="shared" si="14" ref="E48:AQ48">E127</f>
        <v>0</v>
      </c>
      <c r="F48" s="184">
        <f t="shared" si="14"/>
        <v>0</v>
      </c>
      <c r="G48" s="184">
        <f t="shared" si="14"/>
        <v>0</v>
      </c>
      <c r="H48" s="184">
        <f t="shared" si="14"/>
        <v>0</v>
      </c>
      <c r="I48" s="184">
        <f t="shared" si="14"/>
        <v>0</v>
      </c>
      <c r="J48" s="184">
        <f t="shared" si="14"/>
        <v>0</v>
      </c>
      <c r="K48" s="184">
        <f t="shared" si="14"/>
        <v>0</v>
      </c>
      <c r="L48" s="184">
        <f t="shared" si="14"/>
        <v>0</v>
      </c>
      <c r="M48" s="184">
        <f t="shared" si="14"/>
        <v>0</v>
      </c>
      <c r="N48" s="184">
        <f t="shared" si="14"/>
        <v>0</v>
      </c>
      <c r="O48" s="184">
        <f t="shared" si="14"/>
        <v>0</v>
      </c>
      <c r="P48" s="184">
        <f t="shared" si="14"/>
        <v>0</v>
      </c>
      <c r="Q48" s="184">
        <f t="shared" si="14"/>
        <v>0</v>
      </c>
      <c r="R48" s="184">
        <f t="shared" si="14"/>
        <v>0</v>
      </c>
      <c r="S48" s="184">
        <f t="shared" si="14"/>
        <v>0</v>
      </c>
      <c r="T48" s="184">
        <f t="shared" si="14"/>
        <v>0</v>
      </c>
      <c r="U48" s="184">
        <f t="shared" si="14"/>
        <v>0</v>
      </c>
      <c r="V48" s="184">
        <f t="shared" si="14"/>
        <v>0</v>
      </c>
      <c r="W48" s="184">
        <f t="shared" si="14"/>
        <v>0</v>
      </c>
      <c r="X48" s="184">
        <f t="shared" si="14"/>
        <v>0</v>
      </c>
      <c r="Y48" s="184">
        <f t="shared" si="14"/>
        <v>0</v>
      </c>
      <c r="Z48" s="184">
        <f t="shared" si="14"/>
        <v>0</v>
      </c>
      <c r="AA48" s="184">
        <f t="shared" si="14"/>
        <v>0</v>
      </c>
      <c r="AB48" s="184">
        <f t="shared" si="14"/>
        <v>0</v>
      </c>
      <c r="AC48" s="184">
        <f t="shared" si="14"/>
        <v>0</v>
      </c>
      <c r="AD48" s="184">
        <f t="shared" si="14"/>
        <v>0</v>
      </c>
      <c r="AE48" s="184">
        <f t="shared" si="14"/>
        <v>0</v>
      </c>
      <c r="AF48" s="184">
        <f t="shared" si="14"/>
        <v>0</v>
      </c>
      <c r="AG48" s="184">
        <f t="shared" si="14"/>
        <v>0</v>
      </c>
      <c r="AH48" s="184">
        <f t="shared" si="14"/>
        <v>0</v>
      </c>
      <c r="AI48" s="184">
        <f t="shared" si="14"/>
        <v>0</v>
      </c>
      <c r="AJ48" s="184">
        <f t="shared" si="14"/>
        <v>0</v>
      </c>
      <c r="AK48" s="184">
        <f t="shared" si="14"/>
        <v>0</v>
      </c>
      <c r="AL48" s="184">
        <f t="shared" si="14"/>
        <v>0</v>
      </c>
      <c r="AM48" s="184">
        <f t="shared" si="14"/>
        <v>0</v>
      </c>
      <c r="AN48" s="184">
        <f t="shared" si="14"/>
        <v>0</v>
      </c>
      <c r="AO48" s="184">
        <f t="shared" si="14"/>
        <v>0</v>
      </c>
      <c r="AP48" s="184">
        <f t="shared" si="14"/>
        <v>0</v>
      </c>
      <c r="AQ48" s="184">
        <f t="shared" si="14"/>
        <v>0</v>
      </c>
      <c r="AR48" s="177" t="s">
        <v>67</v>
      </c>
      <c r="AS48" s="153">
        <f t="shared" si="10"/>
        <v>0</v>
      </c>
      <c r="AT48" s="153"/>
      <c r="AU48" s="153"/>
      <c r="AV48" s="153"/>
      <c r="AX48" s="172"/>
      <c r="AY48" s="172"/>
      <c r="AZ48" s="172"/>
      <c r="BB48" s="182"/>
      <c r="BC48" s="182"/>
      <c r="BD48" s="182"/>
    </row>
    <row r="49" spans="2:56" s="15" customFormat="1" ht="12">
      <c r="B49" s="7" t="s">
        <v>76</v>
      </c>
      <c r="C49" s="24"/>
      <c r="D49" s="24">
        <f aca="true" t="shared" si="15" ref="D49:AQ49">D45+D46+D47+D48</f>
        <v>0</v>
      </c>
      <c r="E49" s="24">
        <f t="shared" si="15"/>
        <v>0</v>
      </c>
      <c r="F49" s="24">
        <f t="shared" si="15"/>
        <v>0</v>
      </c>
      <c r="G49" s="24">
        <f t="shared" si="15"/>
        <v>0</v>
      </c>
      <c r="H49" s="24">
        <f t="shared" si="15"/>
        <v>0</v>
      </c>
      <c r="I49" s="24">
        <f t="shared" si="15"/>
        <v>0</v>
      </c>
      <c r="J49" s="24">
        <f t="shared" si="15"/>
        <v>0</v>
      </c>
      <c r="K49" s="24">
        <f t="shared" si="15"/>
        <v>0</v>
      </c>
      <c r="L49" s="24">
        <f t="shared" si="15"/>
        <v>0</v>
      </c>
      <c r="M49" s="24">
        <f t="shared" si="15"/>
        <v>0</v>
      </c>
      <c r="N49" s="24">
        <f t="shared" si="15"/>
        <v>0</v>
      </c>
      <c r="O49" s="24">
        <f t="shared" si="15"/>
        <v>0</v>
      </c>
      <c r="P49" s="24">
        <f t="shared" si="15"/>
        <v>0</v>
      </c>
      <c r="Q49" s="24">
        <f t="shared" si="15"/>
        <v>0</v>
      </c>
      <c r="R49" s="24">
        <f t="shared" si="15"/>
        <v>0</v>
      </c>
      <c r="S49" s="24">
        <f t="shared" si="15"/>
        <v>0</v>
      </c>
      <c r="T49" s="24">
        <f t="shared" si="15"/>
        <v>0</v>
      </c>
      <c r="U49" s="24">
        <f t="shared" si="15"/>
        <v>0</v>
      </c>
      <c r="V49" s="24">
        <f t="shared" si="15"/>
        <v>0</v>
      </c>
      <c r="W49" s="24">
        <f t="shared" si="15"/>
        <v>0</v>
      </c>
      <c r="X49" s="24">
        <f t="shared" si="15"/>
        <v>0</v>
      </c>
      <c r="Y49" s="24">
        <f t="shared" si="15"/>
        <v>0</v>
      </c>
      <c r="Z49" s="24">
        <f t="shared" si="15"/>
        <v>0</v>
      </c>
      <c r="AA49" s="24">
        <f t="shared" si="15"/>
        <v>0</v>
      </c>
      <c r="AB49" s="24">
        <f t="shared" si="15"/>
        <v>0</v>
      </c>
      <c r="AC49" s="24">
        <f t="shared" si="15"/>
        <v>0</v>
      </c>
      <c r="AD49" s="24">
        <f t="shared" si="15"/>
        <v>0</v>
      </c>
      <c r="AE49" s="24">
        <f t="shared" si="15"/>
        <v>0</v>
      </c>
      <c r="AF49" s="24">
        <f t="shared" si="15"/>
        <v>0</v>
      </c>
      <c r="AG49" s="24">
        <f t="shared" si="15"/>
        <v>0</v>
      </c>
      <c r="AH49" s="24">
        <f t="shared" si="15"/>
        <v>0</v>
      </c>
      <c r="AI49" s="24">
        <f t="shared" si="15"/>
        <v>0</v>
      </c>
      <c r="AJ49" s="24">
        <f t="shared" si="15"/>
        <v>0</v>
      </c>
      <c r="AK49" s="24">
        <f t="shared" si="15"/>
        <v>0</v>
      </c>
      <c r="AL49" s="24">
        <f t="shared" si="15"/>
        <v>0</v>
      </c>
      <c r="AM49" s="24">
        <f t="shared" si="15"/>
        <v>0</v>
      </c>
      <c r="AN49" s="24">
        <f t="shared" si="15"/>
        <v>0</v>
      </c>
      <c r="AO49" s="24">
        <f t="shared" si="15"/>
        <v>0</v>
      </c>
      <c r="AP49" s="24">
        <f t="shared" si="15"/>
        <v>0</v>
      </c>
      <c r="AQ49" s="24">
        <f t="shared" si="15"/>
        <v>0</v>
      </c>
      <c r="AR49" s="31" t="s">
        <v>76</v>
      </c>
      <c r="AS49" s="153">
        <f t="shared" si="10"/>
        <v>0</v>
      </c>
      <c r="AT49" s="153"/>
      <c r="AU49" s="153"/>
      <c r="AV49" s="153"/>
      <c r="AX49" s="172"/>
      <c r="AY49" s="172"/>
      <c r="AZ49" s="172"/>
      <c r="BB49" s="182"/>
      <c r="BC49" s="182"/>
      <c r="BD49" s="182"/>
    </row>
    <row r="50" spans="3:56" s="32" customFormat="1" ht="1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86"/>
      <c r="AS50" s="153"/>
      <c r="AT50" s="153"/>
      <c r="AU50" s="153"/>
      <c r="AV50" s="153"/>
      <c r="AX50" s="172"/>
      <c r="AY50" s="172"/>
      <c r="AZ50" s="172"/>
      <c r="BB50" s="182"/>
      <c r="BC50" s="182"/>
      <c r="BD50" s="182"/>
    </row>
    <row r="51" spans="2:56" s="126" customFormat="1" ht="12">
      <c r="B51" s="12" t="s">
        <v>115</v>
      </c>
      <c r="C51" s="175"/>
      <c r="D51" s="175">
        <v>0</v>
      </c>
      <c r="E51" s="175">
        <v>0</v>
      </c>
      <c r="F51" s="175">
        <v>0</v>
      </c>
      <c r="G51" s="175">
        <v>0</v>
      </c>
      <c r="H51" s="175">
        <v>0</v>
      </c>
      <c r="I51" s="175">
        <v>0</v>
      </c>
      <c r="J51" s="175">
        <v>0</v>
      </c>
      <c r="K51" s="175">
        <v>0</v>
      </c>
      <c r="L51" s="175">
        <v>0</v>
      </c>
      <c r="M51" s="175">
        <v>0</v>
      </c>
      <c r="N51" s="175">
        <v>0</v>
      </c>
      <c r="O51" s="175">
        <v>0</v>
      </c>
      <c r="P51" s="175">
        <v>0</v>
      </c>
      <c r="Q51" s="175">
        <v>0</v>
      </c>
      <c r="R51" s="175">
        <v>0</v>
      </c>
      <c r="S51" s="175">
        <v>0</v>
      </c>
      <c r="T51" s="175">
        <v>0</v>
      </c>
      <c r="U51" s="175">
        <v>0</v>
      </c>
      <c r="V51" s="175">
        <v>0</v>
      </c>
      <c r="W51" s="175">
        <v>0</v>
      </c>
      <c r="X51" s="175">
        <v>0</v>
      </c>
      <c r="Y51" s="175">
        <v>0</v>
      </c>
      <c r="Z51" s="175">
        <v>0</v>
      </c>
      <c r="AA51" s="175">
        <v>0</v>
      </c>
      <c r="AB51" s="175">
        <v>0</v>
      </c>
      <c r="AC51" s="175">
        <v>0</v>
      </c>
      <c r="AD51" s="175">
        <v>0</v>
      </c>
      <c r="AE51" s="175">
        <v>0</v>
      </c>
      <c r="AF51" s="175">
        <v>0</v>
      </c>
      <c r="AG51" s="175">
        <v>0</v>
      </c>
      <c r="AH51" s="175">
        <v>0</v>
      </c>
      <c r="AI51" s="175">
        <v>0</v>
      </c>
      <c r="AJ51" s="175">
        <v>0</v>
      </c>
      <c r="AK51" s="175">
        <v>0</v>
      </c>
      <c r="AL51" s="175">
        <v>0</v>
      </c>
      <c r="AM51" s="175">
        <v>0</v>
      </c>
      <c r="AN51" s="175">
        <v>0</v>
      </c>
      <c r="AO51" s="175">
        <v>0</v>
      </c>
      <c r="AP51" s="175">
        <v>0</v>
      </c>
      <c r="AQ51" s="175">
        <v>0</v>
      </c>
      <c r="AR51" s="177" t="s">
        <v>115</v>
      </c>
      <c r="AS51" s="153">
        <f>-PMT($H$20,$C$17,NPV($H$20,$D51:$AQ51)+$C51)/AS$33</f>
        <v>0</v>
      </c>
      <c r="AT51" s="153"/>
      <c r="AU51" s="153"/>
      <c r="AV51" s="153"/>
      <c r="AX51" s="172"/>
      <c r="AY51" s="172"/>
      <c r="AZ51" s="172"/>
      <c r="BB51" s="182"/>
      <c r="BC51" s="182"/>
      <c r="BD51" s="182"/>
    </row>
    <row r="52" spans="2:56" ht="12">
      <c r="B52" s="12" t="s">
        <v>114</v>
      </c>
      <c r="C52" s="175"/>
      <c r="D52" s="175">
        <v>0</v>
      </c>
      <c r="E52" s="175">
        <v>0</v>
      </c>
      <c r="F52" s="175">
        <v>0</v>
      </c>
      <c r="G52" s="175">
        <v>0</v>
      </c>
      <c r="H52" s="175">
        <v>0</v>
      </c>
      <c r="I52" s="175">
        <v>0</v>
      </c>
      <c r="J52" s="175">
        <v>0</v>
      </c>
      <c r="K52" s="175">
        <v>0</v>
      </c>
      <c r="L52" s="175">
        <v>0</v>
      </c>
      <c r="M52" s="175">
        <v>0</v>
      </c>
      <c r="N52" s="175">
        <v>0</v>
      </c>
      <c r="O52" s="175">
        <v>0</v>
      </c>
      <c r="P52" s="175">
        <v>0</v>
      </c>
      <c r="Q52" s="175">
        <v>0</v>
      </c>
      <c r="R52" s="175">
        <v>0</v>
      </c>
      <c r="S52" s="175">
        <v>0</v>
      </c>
      <c r="T52" s="175">
        <v>0</v>
      </c>
      <c r="U52" s="175">
        <v>0</v>
      </c>
      <c r="V52" s="175">
        <v>0</v>
      </c>
      <c r="W52" s="175">
        <v>0</v>
      </c>
      <c r="X52" s="175">
        <v>0</v>
      </c>
      <c r="Y52" s="175">
        <v>0</v>
      </c>
      <c r="Z52" s="175">
        <v>0</v>
      </c>
      <c r="AA52" s="175">
        <v>0</v>
      </c>
      <c r="AB52" s="175">
        <v>0</v>
      </c>
      <c r="AC52" s="175">
        <v>0</v>
      </c>
      <c r="AD52" s="175">
        <v>0</v>
      </c>
      <c r="AE52" s="175">
        <v>0</v>
      </c>
      <c r="AF52" s="175">
        <v>0</v>
      </c>
      <c r="AG52" s="175">
        <v>0</v>
      </c>
      <c r="AH52" s="175">
        <v>0</v>
      </c>
      <c r="AI52" s="175">
        <v>0</v>
      </c>
      <c r="AJ52" s="175">
        <v>0</v>
      </c>
      <c r="AK52" s="175">
        <v>0</v>
      </c>
      <c r="AL52" s="175">
        <v>0</v>
      </c>
      <c r="AM52" s="175">
        <v>0</v>
      </c>
      <c r="AN52" s="175">
        <v>0</v>
      </c>
      <c r="AO52" s="175">
        <v>0</v>
      </c>
      <c r="AP52" s="175">
        <v>0</v>
      </c>
      <c r="AQ52" s="175">
        <v>0</v>
      </c>
      <c r="AR52" s="177" t="s">
        <v>114</v>
      </c>
      <c r="AS52" s="153">
        <f>-PMT($H$20,$C$17,NPV($H$20,$D52:$AQ52)+$C52)/AS$33</f>
        <v>0</v>
      </c>
      <c r="AT52" s="153"/>
      <c r="AU52" s="153"/>
      <c r="AV52" s="153"/>
      <c r="AX52" s="172"/>
      <c r="AY52" s="172"/>
      <c r="AZ52" s="172"/>
      <c r="BB52" s="182"/>
      <c r="BC52" s="182"/>
      <c r="BD52" s="182"/>
    </row>
    <row r="53" spans="2:56" ht="12">
      <c r="B53" s="9" t="s">
        <v>81</v>
      </c>
      <c r="C53" s="23"/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1" t="s">
        <v>81</v>
      </c>
      <c r="AS53" s="153">
        <f>-PMT($H$20,$C$17,NPV($H$20,$D53:$AQ53)+$C53)/AS$33</f>
        <v>0</v>
      </c>
      <c r="AT53" s="153"/>
      <c r="AU53" s="153"/>
      <c r="AV53" s="153"/>
      <c r="AX53" s="172"/>
      <c r="AY53" s="172"/>
      <c r="AZ53" s="172"/>
      <c r="BB53" s="182"/>
      <c r="BC53" s="182"/>
      <c r="BD53" s="182"/>
    </row>
    <row r="54" spans="2:56" s="1" customFormat="1" ht="12">
      <c r="B54" s="33"/>
      <c r="C54" s="33"/>
      <c r="D54" s="33"/>
      <c r="E54" s="187"/>
      <c r="F54" s="12"/>
      <c r="G54" s="12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180"/>
      <c r="AS54" s="153"/>
      <c r="AT54" s="153"/>
      <c r="AU54" s="153"/>
      <c r="AV54" s="153"/>
      <c r="AX54" s="172"/>
      <c r="AY54" s="172"/>
      <c r="AZ54" s="172"/>
      <c r="BB54" s="182"/>
      <c r="BC54" s="182"/>
      <c r="BD54" s="182"/>
    </row>
    <row r="55" spans="2:56" ht="12">
      <c r="B55" s="12" t="s">
        <v>77</v>
      </c>
      <c r="C55" s="184">
        <f>-H25</f>
        <v>-1742857.6706206894</v>
      </c>
      <c r="D55" s="33"/>
      <c r="E55" s="179"/>
      <c r="F55" s="175"/>
      <c r="G55" s="175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7" t="s">
        <v>77</v>
      </c>
      <c r="AS55" s="153">
        <f>-PMT($H$20,$C$17,NPV($H$20,$D55:$AQ55)+$C55)/AS$33</f>
        <v>-125.20721291697933</v>
      </c>
      <c r="AT55" s="153"/>
      <c r="AU55" s="153"/>
      <c r="AV55" s="153"/>
      <c r="AX55" s="172"/>
      <c r="AY55" s="172"/>
      <c r="AZ55" s="172"/>
      <c r="BB55" s="182"/>
      <c r="BC55" s="182"/>
      <c r="BD55" s="182"/>
    </row>
    <row r="56" spans="2:56" ht="12">
      <c r="B56" s="12"/>
      <c r="C56" s="184"/>
      <c r="D56" s="33"/>
      <c r="E56" s="179"/>
      <c r="F56" s="175"/>
      <c r="G56" s="175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7"/>
      <c r="AS56" s="153"/>
      <c r="AT56" s="153"/>
      <c r="AU56" s="153"/>
      <c r="AV56" s="153"/>
      <c r="AX56" s="172"/>
      <c r="AY56" s="172"/>
      <c r="AZ56" s="172"/>
      <c r="BB56" s="182"/>
      <c r="BC56" s="182"/>
      <c r="BD56" s="182"/>
    </row>
    <row r="57" spans="2:56" ht="12.75" thickBot="1">
      <c r="B57" s="188" t="s">
        <v>78</v>
      </c>
      <c r="C57" s="189">
        <f>C37+C42+C49+C55+C52</f>
        <v>-1742857.6706206894</v>
      </c>
      <c r="D57" s="189">
        <f aca="true" t="shared" si="16" ref="D57:AQ57">D37+D42+D49+D53</f>
        <v>81374.32412306483</v>
      </c>
      <c r="E57" s="189">
        <f t="shared" si="16"/>
        <v>80411.33948046903</v>
      </c>
      <c r="F57" s="189">
        <f t="shared" si="16"/>
        <v>79440.58553908463</v>
      </c>
      <c r="G57" s="189">
        <f t="shared" si="16"/>
        <v>78461.80105880048</v>
      </c>
      <c r="H57" s="189">
        <f t="shared" si="16"/>
        <v>77474.7202411975</v>
      </c>
      <c r="I57" s="189">
        <f t="shared" si="16"/>
        <v>4703.818478337576</v>
      </c>
      <c r="J57" s="189">
        <f t="shared" si="16"/>
        <v>4201.755654557535</v>
      </c>
      <c r="K57" s="189">
        <f t="shared" si="16"/>
        <v>3687.0537909265768</v>
      </c>
      <c r="L57" s="189">
        <f t="shared" si="16"/>
        <v>3159.4524951424246</v>
      </c>
      <c r="M57" s="189">
        <f t="shared" si="16"/>
        <v>2618.686144754989</v>
      </c>
      <c r="N57" s="189">
        <f t="shared" si="16"/>
        <v>2064.4837824981732</v>
      </c>
      <c r="O57" s="189">
        <f t="shared" si="16"/>
        <v>1496.5690095279278</v>
      </c>
      <c r="P57" s="189">
        <f t="shared" si="16"/>
        <v>914.659876525031</v>
      </c>
      <c r="Q57" s="189">
        <f t="shared" si="16"/>
        <v>318.4687726196207</v>
      </c>
      <c r="R57" s="189">
        <f t="shared" si="16"/>
        <v>-292.29768790588423</v>
      </c>
      <c r="S57" s="189">
        <f t="shared" si="16"/>
        <v>-917.938781180128</v>
      </c>
      <c r="T57" s="189">
        <f t="shared" si="16"/>
        <v>-1558.7597916174273</v>
      </c>
      <c r="U57" s="189">
        <f t="shared" si="16"/>
        <v>-2215.072132150264</v>
      </c>
      <c r="V57" s="189">
        <f t="shared" si="16"/>
        <v>-2887.19346686652</v>
      </c>
      <c r="W57" s="189">
        <f t="shared" si="16"/>
        <v>-3575.447836099738</v>
      </c>
      <c r="X57" s="189">
        <f t="shared" si="16"/>
        <v>0</v>
      </c>
      <c r="Y57" s="189">
        <f t="shared" si="16"/>
        <v>0</v>
      </c>
      <c r="Z57" s="189">
        <f t="shared" si="16"/>
        <v>0</v>
      </c>
      <c r="AA57" s="189">
        <f t="shared" si="16"/>
        <v>0</v>
      </c>
      <c r="AB57" s="189">
        <f t="shared" si="16"/>
        <v>0</v>
      </c>
      <c r="AC57" s="189">
        <f t="shared" si="16"/>
        <v>0</v>
      </c>
      <c r="AD57" s="189">
        <f t="shared" si="16"/>
        <v>0</v>
      </c>
      <c r="AE57" s="189">
        <f t="shared" si="16"/>
        <v>0</v>
      </c>
      <c r="AF57" s="189">
        <f t="shared" si="16"/>
        <v>0</v>
      </c>
      <c r="AG57" s="189">
        <f t="shared" si="16"/>
        <v>0</v>
      </c>
      <c r="AH57" s="189">
        <f t="shared" si="16"/>
        <v>0</v>
      </c>
      <c r="AI57" s="189">
        <f t="shared" si="16"/>
        <v>0</v>
      </c>
      <c r="AJ57" s="189">
        <f t="shared" si="16"/>
        <v>0</v>
      </c>
      <c r="AK57" s="189">
        <f t="shared" si="16"/>
        <v>0</v>
      </c>
      <c r="AL57" s="189">
        <f t="shared" si="16"/>
        <v>0</v>
      </c>
      <c r="AM57" s="189">
        <f t="shared" si="16"/>
        <v>0</v>
      </c>
      <c r="AN57" s="189">
        <f t="shared" si="16"/>
        <v>0</v>
      </c>
      <c r="AO57" s="189">
        <f t="shared" si="16"/>
        <v>0</v>
      </c>
      <c r="AP57" s="189">
        <f t="shared" si="16"/>
        <v>0</v>
      </c>
      <c r="AQ57" s="189">
        <f t="shared" si="16"/>
        <v>0</v>
      </c>
      <c r="AR57" s="190" t="s">
        <v>78</v>
      </c>
      <c r="AS57" s="178">
        <f>-PMT($H$20,$C$17,NPV($H$20,D57:AQ57)+C57)/$AS$33</f>
        <v>-95.83312667719503</v>
      </c>
      <c r="AT57" s="178"/>
      <c r="AU57" s="153"/>
      <c r="AV57" s="153"/>
      <c r="AX57" s="172"/>
      <c r="AY57" s="172"/>
      <c r="AZ57" s="172"/>
      <c r="BB57" s="182"/>
      <c r="BC57" s="182"/>
      <c r="BD57" s="182"/>
    </row>
    <row r="58" spans="2:59" ht="12.75" thickTop="1">
      <c r="B58" s="191"/>
      <c r="C58" s="192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21"/>
      <c r="AS58" s="193"/>
      <c r="AT58" s="153"/>
      <c r="AU58" s="153"/>
      <c r="AV58" s="126"/>
      <c r="AW58" s="193"/>
      <c r="AX58" s="153"/>
      <c r="AY58" s="153"/>
      <c r="AZ58" s="126"/>
      <c r="BA58" s="194"/>
      <c r="BB58" s="194"/>
      <c r="BC58" s="194"/>
      <c r="BD58" s="126"/>
      <c r="BE58" s="195"/>
      <c r="BF58" s="195"/>
      <c r="BG58" s="182"/>
    </row>
    <row r="59" spans="2:58" ht="12">
      <c r="B59" s="196" t="s">
        <v>94</v>
      </c>
      <c r="C59" s="197">
        <v>0</v>
      </c>
      <c r="D59" s="197">
        <v>1</v>
      </c>
      <c r="E59" s="197">
        <v>2</v>
      </c>
      <c r="F59" s="197">
        <v>3</v>
      </c>
      <c r="G59" s="197">
        <v>4</v>
      </c>
      <c r="H59" s="197">
        <v>5</v>
      </c>
      <c r="I59" s="197">
        <v>6</v>
      </c>
      <c r="J59" s="197">
        <v>7</v>
      </c>
      <c r="K59" s="197">
        <v>8</v>
      </c>
      <c r="L59" s="197">
        <v>9</v>
      </c>
      <c r="M59" s="197">
        <v>10</v>
      </c>
      <c r="N59" s="197">
        <v>11</v>
      </c>
      <c r="O59" s="197">
        <v>12</v>
      </c>
      <c r="P59" s="197">
        <v>13</v>
      </c>
      <c r="Q59" s="197">
        <v>14</v>
      </c>
      <c r="R59" s="197">
        <v>15</v>
      </c>
      <c r="S59" s="197">
        <v>16</v>
      </c>
      <c r="T59" s="197">
        <v>17</v>
      </c>
      <c r="U59" s="197">
        <v>18</v>
      </c>
      <c r="V59" s="197">
        <v>19</v>
      </c>
      <c r="W59" s="197">
        <v>20</v>
      </c>
      <c r="X59" s="197">
        <v>21</v>
      </c>
      <c r="Y59" s="197">
        <v>22</v>
      </c>
      <c r="Z59" s="197">
        <v>23</v>
      </c>
      <c r="AA59" s="197">
        <v>24</v>
      </c>
      <c r="AB59" s="197">
        <v>25</v>
      </c>
      <c r="AC59" s="197">
        <v>26</v>
      </c>
      <c r="AD59" s="197">
        <v>27</v>
      </c>
      <c r="AE59" s="197">
        <v>28</v>
      </c>
      <c r="AF59" s="197">
        <v>29</v>
      </c>
      <c r="AG59" s="197">
        <v>30</v>
      </c>
      <c r="AH59" s="197">
        <v>31</v>
      </c>
      <c r="AI59" s="197">
        <v>32</v>
      </c>
      <c r="AJ59" s="197">
        <v>33</v>
      </c>
      <c r="AK59" s="197">
        <v>34</v>
      </c>
      <c r="AL59" s="197">
        <v>35</v>
      </c>
      <c r="AM59" s="197">
        <v>36</v>
      </c>
      <c r="AN59" s="197">
        <v>37</v>
      </c>
      <c r="AO59" s="197">
        <v>38</v>
      </c>
      <c r="AP59" s="197">
        <v>39</v>
      </c>
      <c r="AQ59" s="197">
        <v>40</v>
      </c>
      <c r="AR59" s="21"/>
      <c r="AS59" s="35"/>
      <c r="AT59" s="35"/>
      <c r="AU59" s="35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</row>
    <row r="60" spans="2:58" ht="12">
      <c r="B60" s="9" t="s">
        <v>147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1"/>
      <c r="AS60" s="36"/>
      <c r="AT60" s="36"/>
      <c r="AU60" s="3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</row>
    <row r="61" spans="2:58" ht="12">
      <c r="B61" s="12" t="s">
        <v>97</v>
      </c>
      <c r="C61" s="23"/>
      <c r="D61" s="175">
        <f aca="true" t="shared" si="17" ref="D61:AQ61">(D40+D34+D47)*0</f>
        <v>0</v>
      </c>
      <c r="E61" s="175">
        <f t="shared" si="17"/>
        <v>0</v>
      </c>
      <c r="F61" s="175">
        <f t="shared" si="17"/>
        <v>0</v>
      </c>
      <c r="G61" s="175">
        <f t="shared" si="17"/>
        <v>0</v>
      </c>
      <c r="H61" s="175">
        <f t="shared" si="17"/>
        <v>0</v>
      </c>
      <c r="I61" s="175">
        <f t="shared" si="17"/>
        <v>0</v>
      </c>
      <c r="J61" s="175">
        <f t="shared" si="17"/>
        <v>0</v>
      </c>
      <c r="K61" s="175">
        <f t="shared" si="17"/>
        <v>0</v>
      </c>
      <c r="L61" s="175">
        <f t="shared" si="17"/>
        <v>0</v>
      </c>
      <c r="M61" s="175">
        <f t="shared" si="17"/>
        <v>0</v>
      </c>
      <c r="N61" s="175">
        <f t="shared" si="17"/>
        <v>0</v>
      </c>
      <c r="O61" s="175">
        <f t="shared" si="17"/>
        <v>0</v>
      </c>
      <c r="P61" s="175">
        <f t="shared" si="17"/>
        <v>0</v>
      </c>
      <c r="Q61" s="175">
        <f t="shared" si="17"/>
        <v>0</v>
      </c>
      <c r="R61" s="175">
        <f t="shared" si="17"/>
        <v>0</v>
      </c>
      <c r="S61" s="175">
        <f t="shared" si="17"/>
        <v>0</v>
      </c>
      <c r="T61" s="175">
        <f t="shared" si="17"/>
        <v>0</v>
      </c>
      <c r="U61" s="175">
        <f t="shared" si="17"/>
        <v>0</v>
      </c>
      <c r="V61" s="175">
        <f t="shared" si="17"/>
        <v>0</v>
      </c>
      <c r="W61" s="175">
        <f t="shared" si="17"/>
        <v>0</v>
      </c>
      <c r="X61" s="175">
        <f t="shared" si="17"/>
        <v>0</v>
      </c>
      <c r="Y61" s="175">
        <f t="shared" si="17"/>
        <v>0</v>
      </c>
      <c r="Z61" s="175">
        <f t="shared" si="17"/>
        <v>0</v>
      </c>
      <c r="AA61" s="175">
        <f t="shared" si="17"/>
        <v>0</v>
      </c>
      <c r="AB61" s="175">
        <f t="shared" si="17"/>
        <v>0</v>
      </c>
      <c r="AC61" s="175">
        <f t="shared" si="17"/>
        <v>0</v>
      </c>
      <c r="AD61" s="175">
        <f t="shared" si="17"/>
        <v>0</v>
      </c>
      <c r="AE61" s="175">
        <f t="shared" si="17"/>
        <v>0</v>
      </c>
      <c r="AF61" s="175">
        <f t="shared" si="17"/>
        <v>0</v>
      </c>
      <c r="AG61" s="175">
        <f t="shared" si="17"/>
        <v>0</v>
      </c>
      <c r="AH61" s="175">
        <f t="shared" si="17"/>
        <v>0</v>
      </c>
      <c r="AI61" s="175">
        <f t="shared" si="17"/>
        <v>0</v>
      </c>
      <c r="AJ61" s="175">
        <f t="shared" si="17"/>
        <v>0</v>
      </c>
      <c r="AK61" s="175">
        <f t="shared" si="17"/>
        <v>0</v>
      </c>
      <c r="AL61" s="175">
        <f t="shared" si="17"/>
        <v>0</v>
      </c>
      <c r="AM61" s="175">
        <f t="shared" si="17"/>
        <v>0</v>
      </c>
      <c r="AN61" s="175">
        <f t="shared" si="17"/>
        <v>0</v>
      </c>
      <c r="AO61" s="175">
        <f t="shared" si="17"/>
        <v>0</v>
      </c>
      <c r="AP61" s="175">
        <f t="shared" si="17"/>
        <v>0</v>
      </c>
      <c r="AQ61" s="175">
        <f t="shared" si="17"/>
        <v>0</v>
      </c>
      <c r="AR61" s="21"/>
      <c r="AS61" s="36"/>
      <c r="AT61" s="36"/>
      <c r="AU61" s="3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</row>
    <row r="62" spans="2:47" s="126" customFormat="1" ht="12">
      <c r="B62" s="12" t="s">
        <v>98</v>
      </c>
      <c r="C62" s="23"/>
      <c r="D62" s="198">
        <v>0</v>
      </c>
      <c r="E62" s="198">
        <v>0</v>
      </c>
      <c r="F62" s="198">
        <v>0</v>
      </c>
      <c r="G62" s="198">
        <v>0</v>
      </c>
      <c r="H62" s="198">
        <v>0</v>
      </c>
      <c r="I62" s="198">
        <v>0</v>
      </c>
      <c r="J62" s="198">
        <v>0</v>
      </c>
      <c r="K62" s="198">
        <v>0</v>
      </c>
      <c r="L62" s="198">
        <v>0</v>
      </c>
      <c r="M62" s="198">
        <v>0</v>
      </c>
      <c r="N62" s="198">
        <v>0</v>
      </c>
      <c r="O62" s="198">
        <v>0</v>
      </c>
      <c r="P62" s="198">
        <v>0</v>
      </c>
      <c r="Q62" s="198">
        <v>0</v>
      </c>
      <c r="R62" s="198">
        <v>0</v>
      </c>
      <c r="S62" s="198">
        <v>0</v>
      </c>
      <c r="T62" s="198">
        <v>0</v>
      </c>
      <c r="U62" s="198">
        <v>0</v>
      </c>
      <c r="V62" s="198">
        <v>0</v>
      </c>
      <c r="W62" s="198">
        <v>0</v>
      </c>
      <c r="X62" s="198">
        <v>0</v>
      </c>
      <c r="Y62" s="198">
        <v>0</v>
      </c>
      <c r="Z62" s="198">
        <v>0</v>
      </c>
      <c r="AA62" s="198">
        <v>0</v>
      </c>
      <c r="AB62" s="198">
        <v>0</v>
      </c>
      <c r="AC62" s="198">
        <v>0</v>
      </c>
      <c r="AD62" s="198">
        <v>0</v>
      </c>
      <c r="AE62" s="198">
        <v>0</v>
      </c>
      <c r="AF62" s="198">
        <v>0</v>
      </c>
      <c r="AG62" s="198">
        <v>0</v>
      </c>
      <c r="AH62" s="198">
        <v>0</v>
      </c>
      <c r="AI62" s="198">
        <v>0</v>
      </c>
      <c r="AJ62" s="198">
        <v>0</v>
      </c>
      <c r="AK62" s="198">
        <v>0</v>
      </c>
      <c r="AL62" s="198">
        <v>0</v>
      </c>
      <c r="AM62" s="198">
        <v>0</v>
      </c>
      <c r="AN62" s="198">
        <v>0</v>
      </c>
      <c r="AO62" s="198">
        <v>0</v>
      </c>
      <c r="AP62" s="198">
        <v>0</v>
      </c>
      <c r="AQ62" s="198">
        <v>0</v>
      </c>
      <c r="AR62" s="21"/>
      <c r="AS62" s="193"/>
      <c r="AT62" s="153"/>
      <c r="AU62" s="153"/>
    </row>
    <row r="63" spans="2:54" s="126" customFormat="1" ht="12">
      <c r="B63" s="12" t="s">
        <v>99</v>
      </c>
      <c r="C63" s="23">
        <f>C6*C5*10^6</f>
        <v>0</v>
      </c>
      <c r="D63" s="175">
        <v>0</v>
      </c>
      <c r="E63" s="175">
        <v>0</v>
      </c>
      <c r="F63" s="175">
        <v>0</v>
      </c>
      <c r="G63" s="175">
        <v>0</v>
      </c>
      <c r="H63" s="175">
        <v>0</v>
      </c>
      <c r="I63" s="175">
        <v>0</v>
      </c>
      <c r="J63" s="175">
        <v>0</v>
      </c>
      <c r="K63" s="175">
        <v>0</v>
      </c>
      <c r="L63" s="175">
        <v>0</v>
      </c>
      <c r="M63" s="175">
        <v>0</v>
      </c>
      <c r="N63" s="175">
        <v>0</v>
      </c>
      <c r="O63" s="175">
        <v>0</v>
      </c>
      <c r="P63" s="175">
        <v>0</v>
      </c>
      <c r="Q63" s="175">
        <v>0</v>
      </c>
      <c r="R63" s="175">
        <v>0</v>
      </c>
      <c r="S63" s="175">
        <v>0</v>
      </c>
      <c r="T63" s="175">
        <v>0</v>
      </c>
      <c r="U63" s="175">
        <v>0</v>
      </c>
      <c r="V63" s="175">
        <v>0</v>
      </c>
      <c r="W63" s="175">
        <v>0</v>
      </c>
      <c r="X63" s="175">
        <v>0</v>
      </c>
      <c r="Y63" s="175">
        <v>0</v>
      </c>
      <c r="Z63" s="175">
        <v>0</v>
      </c>
      <c r="AA63" s="175">
        <v>0</v>
      </c>
      <c r="AB63" s="175">
        <v>0</v>
      </c>
      <c r="AC63" s="175">
        <v>0</v>
      </c>
      <c r="AD63" s="175">
        <v>0</v>
      </c>
      <c r="AE63" s="175">
        <v>0</v>
      </c>
      <c r="AF63" s="175">
        <v>0</v>
      </c>
      <c r="AG63" s="175">
        <v>0</v>
      </c>
      <c r="AH63" s="175">
        <v>0</v>
      </c>
      <c r="AI63" s="175">
        <v>0</v>
      </c>
      <c r="AJ63" s="175">
        <v>0</v>
      </c>
      <c r="AK63" s="175">
        <v>0</v>
      </c>
      <c r="AL63" s="175">
        <v>0</v>
      </c>
      <c r="AM63" s="175">
        <v>0</v>
      </c>
      <c r="AN63" s="175">
        <v>0</v>
      </c>
      <c r="AO63" s="175">
        <v>0</v>
      </c>
      <c r="AP63" s="175">
        <v>0</v>
      </c>
      <c r="AQ63" s="175">
        <v>0</v>
      </c>
      <c r="AR63" s="21"/>
      <c r="AS63" s="193"/>
      <c r="AT63" s="153"/>
      <c r="AU63" s="153"/>
      <c r="BB63" s="199"/>
    </row>
    <row r="64" spans="2:54" s="126" customFormat="1" ht="12">
      <c r="B64" s="126" t="s">
        <v>100</v>
      </c>
      <c r="D64" s="175">
        <v>0</v>
      </c>
      <c r="E64" s="175">
        <v>0</v>
      </c>
      <c r="F64" s="175">
        <v>0</v>
      </c>
      <c r="G64" s="175">
        <v>0</v>
      </c>
      <c r="H64" s="175">
        <v>0</v>
      </c>
      <c r="I64" s="175">
        <v>0</v>
      </c>
      <c r="J64" s="175">
        <v>0</v>
      </c>
      <c r="K64" s="175">
        <v>0</v>
      </c>
      <c r="L64" s="175">
        <v>0</v>
      </c>
      <c r="M64" s="175">
        <v>0</v>
      </c>
      <c r="N64" s="175">
        <v>0</v>
      </c>
      <c r="O64" s="175">
        <v>0</v>
      </c>
      <c r="P64" s="175">
        <v>0</v>
      </c>
      <c r="Q64" s="175">
        <v>0</v>
      </c>
      <c r="R64" s="175">
        <v>0</v>
      </c>
      <c r="S64" s="175">
        <v>0</v>
      </c>
      <c r="T64" s="175">
        <v>0</v>
      </c>
      <c r="U64" s="175">
        <v>0</v>
      </c>
      <c r="V64" s="175">
        <v>0</v>
      </c>
      <c r="W64" s="175">
        <v>0</v>
      </c>
      <c r="X64" s="175">
        <v>0</v>
      </c>
      <c r="Y64" s="175">
        <v>0</v>
      </c>
      <c r="Z64" s="175">
        <v>0</v>
      </c>
      <c r="AA64" s="175">
        <v>0</v>
      </c>
      <c r="AB64" s="175">
        <v>0</v>
      </c>
      <c r="AC64" s="175">
        <v>0</v>
      </c>
      <c r="AD64" s="175">
        <v>0</v>
      </c>
      <c r="AE64" s="175">
        <v>0</v>
      </c>
      <c r="AF64" s="175">
        <v>0</v>
      </c>
      <c r="AG64" s="175">
        <v>0</v>
      </c>
      <c r="AH64" s="175">
        <v>0</v>
      </c>
      <c r="AI64" s="175">
        <v>0</v>
      </c>
      <c r="AJ64" s="175">
        <v>0</v>
      </c>
      <c r="AK64" s="175">
        <v>0</v>
      </c>
      <c r="AL64" s="175">
        <v>0</v>
      </c>
      <c r="AM64" s="175">
        <v>0</v>
      </c>
      <c r="AN64" s="175">
        <v>0</v>
      </c>
      <c r="AO64" s="175">
        <v>0</v>
      </c>
      <c r="AP64" s="175">
        <v>0</v>
      </c>
      <c r="AQ64" s="175">
        <v>0</v>
      </c>
      <c r="AR64" s="200"/>
      <c r="AS64" s="193"/>
      <c r="AT64" s="193"/>
      <c r="AU64" s="193"/>
      <c r="AW64" s="195"/>
      <c r="AX64" s="195"/>
      <c r="BA64" s="195"/>
      <c r="BB64" s="195"/>
    </row>
    <row r="65" spans="2:50" s="126" customFormat="1" ht="12">
      <c r="B65" s="12" t="s">
        <v>19</v>
      </c>
      <c r="C65" s="23"/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77"/>
      <c r="AS65" s="193"/>
      <c r="AT65" s="193"/>
      <c r="AU65" s="193"/>
      <c r="AW65" s="195"/>
      <c r="AX65" s="193"/>
    </row>
    <row r="66" spans="2:54" s="126" customFormat="1" ht="12">
      <c r="B66" s="12" t="s">
        <v>101</v>
      </c>
      <c r="C66" s="23"/>
      <c r="D66" s="184">
        <v>0</v>
      </c>
      <c r="E66" s="184">
        <v>0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0</v>
      </c>
      <c r="Q66" s="184">
        <v>0</v>
      </c>
      <c r="R66" s="184">
        <v>0</v>
      </c>
      <c r="S66" s="184">
        <v>0</v>
      </c>
      <c r="T66" s="184">
        <v>0</v>
      </c>
      <c r="U66" s="184">
        <v>0</v>
      </c>
      <c r="V66" s="184">
        <v>0</v>
      </c>
      <c r="W66" s="184">
        <v>0</v>
      </c>
      <c r="X66" s="184">
        <v>0</v>
      </c>
      <c r="Y66" s="184">
        <v>0</v>
      </c>
      <c r="Z66" s="184">
        <v>0</v>
      </c>
      <c r="AA66" s="184">
        <v>0</v>
      </c>
      <c r="AB66" s="184">
        <v>0</v>
      </c>
      <c r="AC66" s="184">
        <v>0</v>
      </c>
      <c r="AD66" s="184">
        <v>0</v>
      </c>
      <c r="AE66" s="184">
        <v>0</v>
      </c>
      <c r="AF66" s="184">
        <v>0</v>
      </c>
      <c r="AG66" s="184">
        <v>0</v>
      </c>
      <c r="AH66" s="184">
        <v>0</v>
      </c>
      <c r="AI66" s="184">
        <v>0</v>
      </c>
      <c r="AJ66" s="184">
        <v>0</v>
      </c>
      <c r="AK66" s="184">
        <v>0</v>
      </c>
      <c r="AL66" s="184">
        <v>0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77"/>
      <c r="AS66" s="193"/>
      <c r="AT66" s="193"/>
      <c r="AU66" s="193"/>
      <c r="AW66" s="193"/>
      <c r="AX66" s="193"/>
      <c r="BA66" s="201"/>
      <c r="BB66" s="201"/>
    </row>
    <row r="67" spans="2:50" s="126" customFormat="1" ht="12">
      <c r="B67" s="12" t="s">
        <v>102</v>
      </c>
      <c r="C67" s="198">
        <f>+H6</f>
        <v>0</v>
      </c>
      <c r="D67" s="184">
        <v>0</v>
      </c>
      <c r="E67" s="184">
        <v>0</v>
      </c>
      <c r="F67" s="184">
        <v>0</v>
      </c>
      <c r="G67" s="184">
        <v>0</v>
      </c>
      <c r="H67" s="184">
        <v>0</v>
      </c>
      <c r="I67" s="184">
        <v>0</v>
      </c>
      <c r="J67" s="184">
        <v>0</v>
      </c>
      <c r="K67" s="184">
        <v>0</v>
      </c>
      <c r="L67" s="184">
        <v>0</v>
      </c>
      <c r="M67" s="184">
        <v>0</v>
      </c>
      <c r="N67" s="184">
        <v>0</v>
      </c>
      <c r="O67" s="184">
        <v>0</v>
      </c>
      <c r="P67" s="184">
        <v>0</v>
      </c>
      <c r="Q67" s="184">
        <v>0</v>
      </c>
      <c r="R67" s="184">
        <v>0</v>
      </c>
      <c r="S67" s="184">
        <v>0</v>
      </c>
      <c r="T67" s="184">
        <v>0</v>
      </c>
      <c r="U67" s="184">
        <v>0</v>
      </c>
      <c r="V67" s="184">
        <v>0</v>
      </c>
      <c r="W67" s="184">
        <v>0</v>
      </c>
      <c r="X67" s="184">
        <v>0</v>
      </c>
      <c r="Y67" s="184">
        <v>0</v>
      </c>
      <c r="Z67" s="184">
        <v>0</v>
      </c>
      <c r="AA67" s="184">
        <v>0</v>
      </c>
      <c r="AB67" s="184">
        <v>0</v>
      </c>
      <c r="AC67" s="184">
        <v>0</v>
      </c>
      <c r="AD67" s="184">
        <v>0</v>
      </c>
      <c r="AE67" s="184">
        <v>0</v>
      </c>
      <c r="AF67" s="184">
        <v>0</v>
      </c>
      <c r="AG67" s="184">
        <v>0</v>
      </c>
      <c r="AH67" s="184">
        <v>0</v>
      </c>
      <c r="AI67" s="184">
        <v>0</v>
      </c>
      <c r="AJ67" s="184">
        <v>0</v>
      </c>
      <c r="AK67" s="184">
        <v>0</v>
      </c>
      <c r="AL67" s="184">
        <v>0</v>
      </c>
      <c r="AM67" s="184">
        <v>0</v>
      </c>
      <c r="AN67" s="184">
        <v>0</v>
      </c>
      <c r="AO67" s="184">
        <v>0</v>
      </c>
      <c r="AP67" s="184">
        <v>0</v>
      </c>
      <c r="AQ67" s="184">
        <v>0</v>
      </c>
      <c r="AR67" s="177"/>
      <c r="AS67" s="195"/>
      <c r="AT67" s="195"/>
      <c r="AU67" s="195"/>
      <c r="AW67" s="195"/>
      <c r="AX67" s="195"/>
    </row>
    <row r="68" spans="2:54" s="126" customFormat="1" ht="12">
      <c r="B68" s="12"/>
      <c r="C68" s="23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21"/>
      <c r="AS68" s="34"/>
      <c r="AT68" s="34"/>
      <c r="AU68" s="34"/>
      <c r="AW68" s="34"/>
      <c r="AX68" s="34"/>
      <c r="BA68" s="202"/>
      <c r="BB68" s="202"/>
    </row>
    <row r="69" spans="2:50" s="126" customFormat="1" ht="12">
      <c r="B69" s="9" t="s">
        <v>103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177"/>
      <c r="AS69" s="193"/>
      <c r="AT69" s="193"/>
      <c r="AU69" s="193"/>
      <c r="AW69" s="177"/>
      <c r="AX69" s="177"/>
    </row>
    <row r="70" spans="2:50" s="126" customFormat="1" ht="12">
      <c r="B70" s="12" t="s">
        <v>97</v>
      </c>
      <c r="C70" s="23"/>
      <c r="D70" s="175">
        <v>0</v>
      </c>
      <c r="E70" s="175">
        <v>0</v>
      </c>
      <c r="F70" s="175">
        <v>0</v>
      </c>
      <c r="G70" s="175">
        <v>0</v>
      </c>
      <c r="H70" s="175">
        <v>0</v>
      </c>
      <c r="I70" s="175">
        <v>0</v>
      </c>
      <c r="J70" s="175">
        <v>0</v>
      </c>
      <c r="K70" s="175">
        <v>0</v>
      </c>
      <c r="L70" s="175">
        <v>0</v>
      </c>
      <c r="M70" s="175">
        <v>0</v>
      </c>
      <c r="N70" s="175">
        <v>0</v>
      </c>
      <c r="O70" s="175">
        <v>0</v>
      </c>
      <c r="P70" s="175">
        <v>0</v>
      </c>
      <c r="Q70" s="175">
        <v>0</v>
      </c>
      <c r="R70" s="175">
        <v>0</v>
      </c>
      <c r="S70" s="175">
        <v>0</v>
      </c>
      <c r="T70" s="175">
        <v>0</v>
      </c>
      <c r="U70" s="175">
        <v>0</v>
      </c>
      <c r="V70" s="175">
        <v>0</v>
      </c>
      <c r="W70" s="175">
        <v>0</v>
      </c>
      <c r="X70" s="175">
        <v>0</v>
      </c>
      <c r="Y70" s="175">
        <v>0</v>
      </c>
      <c r="Z70" s="175">
        <v>0</v>
      </c>
      <c r="AA70" s="175">
        <v>0</v>
      </c>
      <c r="AB70" s="175">
        <v>0</v>
      </c>
      <c r="AC70" s="175">
        <v>0</v>
      </c>
      <c r="AD70" s="175">
        <v>0</v>
      </c>
      <c r="AE70" s="175">
        <v>0</v>
      </c>
      <c r="AF70" s="175">
        <v>0</v>
      </c>
      <c r="AG70" s="175">
        <v>0</v>
      </c>
      <c r="AH70" s="175">
        <v>0</v>
      </c>
      <c r="AI70" s="175">
        <v>0</v>
      </c>
      <c r="AJ70" s="175">
        <v>0</v>
      </c>
      <c r="AK70" s="175">
        <v>0</v>
      </c>
      <c r="AL70" s="175">
        <v>0</v>
      </c>
      <c r="AM70" s="175">
        <v>0</v>
      </c>
      <c r="AN70" s="175">
        <v>0</v>
      </c>
      <c r="AO70" s="175">
        <v>0</v>
      </c>
      <c r="AP70" s="175">
        <v>0</v>
      </c>
      <c r="AQ70" s="175">
        <v>0</v>
      </c>
      <c r="AR70" s="21"/>
      <c r="AS70" s="34"/>
      <c r="AT70" s="34"/>
      <c r="AU70" s="34"/>
      <c r="AW70" s="34"/>
      <c r="AX70" s="34"/>
    </row>
    <row r="71" spans="2:48" s="126" customFormat="1" ht="12">
      <c r="B71" s="12" t="s">
        <v>104</v>
      </c>
      <c r="C71" s="23"/>
      <c r="D71" s="198">
        <v>0</v>
      </c>
      <c r="E71" s="198">
        <v>0</v>
      </c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98">
        <v>0</v>
      </c>
      <c r="M71" s="198">
        <v>0</v>
      </c>
      <c r="N71" s="198">
        <v>0</v>
      </c>
      <c r="O71" s="198">
        <v>0</v>
      </c>
      <c r="P71" s="198">
        <v>0</v>
      </c>
      <c r="Q71" s="198">
        <v>0</v>
      </c>
      <c r="R71" s="198">
        <v>0</v>
      </c>
      <c r="S71" s="198">
        <v>0</v>
      </c>
      <c r="T71" s="198">
        <v>0</v>
      </c>
      <c r="U71" s="198">
        <v>0</v>
      </c>
      <c r="V71" s="198">
        <v>0</v>
      </c>
      <c r="W71" s="198">
        <v>0</v>
      </c>
      <c r="X71" s="198">
        <v>0</v>
      </c>
      <c r="Y71" s="198">
        <v>0</v>
      </c>
      <c r="Z71" s="198">
        <v>0</v>
      </c>
      <c r="AA71" s="198">
        <v>0</v>
      </c>
      <c r="AB71" s="198">
        <v>0</v>
      </c>
      <c r="AC71" s="198">
        <v>0</v>
      </c>
      <c r="AD71" s="198">
        <v>0</v>
      </c>
      <c r="AE71" s="198">
        <v>0</v>
      </c>
      <c r="AF71" s="198">
        <v>0</v>
      </c>
      <c r="AG71" s="198">
        <v>0</v>
      </c>
      <c r="AH71" s="198">
        <v>0</v>
      </c>
      <c r="AI71" s="198">
        <v>0</v>
      </c>
      <c r="AJ71" s="198">
        <v>0</v>
      </c>
      <c r="AK71" s="198">
        <v>0</v>
      </c>
      <c r="AL71" s="198">
        <v>0</v>
      </c>
      <c r="AM71" s="198">
        <v>0</v>
      </c>
      <c r="AN71" s="198">
        <v>0</v>
      </c>
      <c r="AO71" s="198">
        <v>0</v>
      </c>
      <c r="AP71" s="198">
        <v>0</v>
      </c>
      <c r="AQ71" s="198">
        <v>0</v>
      </c>
      <c r="AU71" s="153"/>
      <c r="AV71" s="177"/>
    </row>
    <row r="72" spans="2:47" s="126" customFormat="1" ht="12">
      <c r="B72" s="12" t="s">
        <v>105</v>
      </c>
      <c r="C72" s="23">
        <f>C6*C5*10^6*(1-H9)</f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U72" s="153"/>
    </row>
    <row r="73" spans="2:47" s="126" customFormat="1" ht="12">
      <c r="B73" s="12" t="s">
        <v>106</v>
      </c>
      <c r="C73" s="23"/>
      <c r="D73" s="184">
        <v>0</v>
      </c>
      <c r="E73" s="184">
        <v>0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0</v>
      </c>
      <c r="Q73" s="184">
        <v>0</v>
      </c>
      <c r="R73" s="184">
        <v>0</v>
      </c>
      <c r="S73" s="184">
        <v>0</v>
      </c>
      <c r="T73" s="184">
        <v>0</v>
      </c>
      <c r="U73" s="184">
        <v>0</v>
      </c>
      <c r="V73" s="184">
        <v>0</v>
      </c>
      <c r="W73" s="184">
        <v>0</v>
      </c>
      <c r="X73" s="184">
        <v>0</v>
      </c>
      <c r="Y73" s="184">
        <v>0</v>
      </c>
      <c r="Z73" s="184">
        <v>0</v>
      </c>
      <c r="AA73" s="184">
        <v>0</v>
      </c>
      <c r="AB73" s="184">
        <v>0</v>
      </c>
      <c r="AC73" s="184">
        <v>0</v>
      </c>
      <c r="AD73" s="184">
        <v>0</v>
      </c>
      <c r="AE73" s="184">
        <v>0</v>
      </c>
      <c r="AF73" s="184">
        <v>0</v>
      </c>
      <c r="AG73" s="184">
        <v>0</v>
      </c>
      <c r="AH73" s="184">
        <v>0</v>
      </c>
      <c r="AI73" s="184">
        <v>0</v>
      </c>
      <c r="AJ73" s="184">
        <v>0</v>
      </c>
      <c r="AK73" s="184">
        <v>0</v>
      </c>
      <c r="AL73" s="184">
        <v>0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21"/>
      <c r="AS73" s="193"/>
      <c r="AT73" s="153"/>
      <c r="AU73" s="153"/>
    </row>
    <row r="74" spans="2:47" s="126" customFormat="1" ht="12">
      <c r="B74" s="12" t="s">
        <v>19</v>
      </c>
      <c r="C74" s="23"/>
      <c r="D74" s="184">
        <v>0</v>
      </c>
      <c r="E74" s="184">
        <v>0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0</v>
      </c>
      <c r="Q74" s="184">
        <v>0</v>
      </c>
      <c r="R74" s="184">
        <v>0</v>
      </c>
      <c r="S74" s="184">
        <v>0</v>
      </c>
      <c r="T74" s="184">
        <v>0</v>
      </c>
      <c r="U74" s="184">
        <v>0</v>
      </c>
      <c r="V74" s="184">
        <v>0</v>
      </c>
      <c r="W74" s="184">
        <v>0</v>
      </c>
      <c r="X74" s="184">
        <v>0</v>
      </c>
      <c r="Y74" s="184">
        <v>0</v>
      </c>
      <c r="Z74" s="184">
        <v>0</v>
      </c>
      <c r="AA74" s="184">
        <v>0</v>
      </c>
      <c r="AB74" s="184">
        <v>0</v>
      </c>
      <c r="AC74" s="184">
        <v>0</v>
      </c>
      <c r="AD74" s="184">
        <v>0</v>
      </c>
      <c r="AE74" s="184">
        <v>0</v>
      </c>
      <c r="AF74" s="184">
        <v>0</v>
      </c>
      <c r="AG74" s="184">
        <v>0</v>
      </c>
      <c r="AH74" s="184">
        <v>0</v>
      </c>
      <c r="AI74" s="184">
        <v>0</v>
      </c>
      <c r="AJ74" s="184">
        <v>0</v>
      </c>
      <c r="AK74" s="184">
        <v>0</v>
      </c>
      <c r="AL74" s="184">
        <v>0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21"/>
      <c r="AS74" s="193"/>
      <c r="AT74" s="153"/>
      <c r="AU74" s="153"/>
    </row>
    <row r="75" spans="2:47" s="126" customFormat="1" ht="12">
      <c r="B75" s="12" t="s">
        <v>107</v>
      </c>
      <c r="C75" s="23"/>
      <c r="D75" s="184">
        <v>0</v>
      </c>
      <c r="E75" s="184">
        <v>0</v>
      </c>
      <c r="F75" s="184">
        <v>0</v>
      </c>
      <c r="G75" s="184">
        <v>0</v>
      </c>
      <c r="H75" s="184">
        <v>0</v>
      </c>
      <c r="I75" s="184">
        <v>0</v>
      </c>
      <c r="J75" s="184">
        <v>0</v>
      </c>
      <c r="K75" s="184">
        <v>0</v>
      </c>
      <c r="L75" s="184">
        <v>0</v>
      </c>
      <c r="M75" s="184">
        <v>0</v>
      </c>
      <c r="N75" s="184">
        <v>0</v>
      </c>
      <c r="O75" s="184">
        <v>0</v>
      </c>
      <c r="P75" s="184">
        <v>0</v>
      </c>
      <c r="Q75" s="184">
        <v>0</v>
      </c>
      <c r="R75" s="184">
        <v>0</v>
      </c>
      <c r="S75" s="184">
        <v>0</v>
      </c>
      <c r="T75" s="184">
        <v>0</v>
      </c>
      <c r="U75" s="184">
        <v>0</v>
      </c>
      <c r="V75" s="184">
        <v>0</v>
      </c>
      <c r="W75" s="184">
        <v>0</v>
      </c>
      <c r="X75" s="184">
        <v>0</v>
      </c>
      <c r="Y75" s="184">
        <v>0</v>
      </c>
      <c r="Z75" s="184">
        <v>0</v>
      </c>
      <c r="AA75" s="184">
        <v>0</v>
      </c>
      <c r="AB75" s="184">
        <v>0</v>
      </c>
      <c r="AC75" s="184">
        <v>0</v>
      </c>
      <c r="AD75" s="184">
        <v>0</v>
      </c>
      <c r="AE75" s="184">
        <v>0</v>
      </c>
      <c r="AF75" s="184">
        <v>0</v>
      </c>
      <c r="AG75" s="184">
        <v>0</v>
      </c>
      <c r="AH75" s="184">
        <v>0</v>
      </c>
      <c r="AI75" s="184">
        <v>0</v>
      </c>
      <c r="AJ75" s="184">
        <v>0</v>
      </c>
      <c r="AK75" s="184">
        <v>0</v>
      </c>
      <c r="AL75" s="184">
        <v>0</v>
      </c>
      <c r="AM75" s="184">
        <v>0</v>
      </c>
      <c r="AN75" s="184">
        <v>0</v>
      </c>
      <c r="AO75" s="184">
        <v>0</v>
      </c>
      <c r="AP75" s="184">
        <v>0</v>
      </c>
      <c r="AQ75" s="184">
        <v>0</v>
      </c>
      <c r="AR75" s="21"/>
      <c r="AS75" s="193"/>
      <c r="AT75" s="153"/>
      <c r="AU75" s="153"/>
    </row>
    <row r="76" spans="2:47" s="126" customFormat="1" ht="12">
      <c r="B76" s="12" t="s">
        <v>101</v>
      </c>
      <c r="C76" s="23"/>
      <c r="D76" s="184">
        <v>0</v>
      </c>
      <c r="E76" s="184">
        <v>0</v>
      </c>
      <c r="F76" s="184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0</v>
      </c>
      <c r="Q76" s="184">
        <v>0</v>
      </c>
      <c r="R76" s="184">
        <v>0</v>
      </c>
      <c r="S76" s="184">
        <v>0</v>
      </c>
      <c r="T76" s="184">
        <v>0</v>
      </c>
      <c r="U76" s="184">
        <v>0</v>
      </c>
      <c r="V76" s="184">
        <v>0</v>
      </c>
      <c r="W76" s="184">
        <v>0</v>
      </c>
      <c r="X76" s="184">
        <v>0</v>
      </c>
      <c r="Y76" s="184">
        <v>0</v>
      </c>
      <c r="Z76" s="184">
        <v>0</v>
      </c>
      <c r="AA76" s="184">
        <v>0</v>
      </c>
      <c r="AB76" s="184">
        <v>0</v>
      </c>
      <c r="AC76" s="184">
        <v>0</v>
      </c>
      <c r="AD76" s="184">
        <v>0</v>
      </c>
      <c r="AE76" s="184">
        <v>0</v>
      </c>
      <c r="AF76" s="184">
        <v>0</v>
      </c>
      <c r="AG76" s="184">
        <v>0</v>
      </c>
      <c r="AH76" s="184">
        <v>0</v>
      </c>
      <c r="AI76" s="184">
        <v>0</v>
      </c>
      <c r="AJ76" s="184">
        <v>0</v>
      </c>
      <c r="AK76" s="184">
        <v>0</v>
      </c>
      <c r="AL76" s="184">
        <v>0</v>
      </c>
      <c r="AM76" s="184">
        <v>0</v>
      </c>
      <c r="AN76" s="184">
        <v>0</v>
      </c>
      <c r="AO76" s="184">
        <v>0</v>
      </c>
      <c r="AP76" s="184">
        <v>0</v>
      </c>
      <c r="AQ76" s="184">
        <v>0</v>
      </c>
      <c r="AR76" s="21"/>
      <c r="AS76" s="193"/>
      <c r="AT76" s="153"/>
      <c r="AU76" s="153"/>
    </row>
    <row r="77" spans="2:47" s="126" customFormat="1" ht="12">
      <c r="B77" s="12" t="s">
        <v>108</v>
      </c>
      <c r="C77" s="198">
        <f>+H5</f>
        <v>0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21"/>
      <c r="AS77" s="193"/>
      <c r="AT77" s="153"/>
      <c r="AU77" s="153"/>
    </row>
    <row r="78" spans="2:47" s="126" customFormat="1" ht="12">
      <c r="B78" s="12" t="s">
        <v>109</v>
      </c>
      <c r="C78" s="23">
        <f>0</f>
        <v>0</v>
      </c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21"/>
      <c r="AS78" s="193"/>
      <c r="AT78" s="153"/>
      <c r="AU78" s="153"/>
    </row>
    <row r="79" spans="2:47" s="126" customFormat="1" ht="12">
      <c r="B79" s="9" t="s">
        <v>110</v>
      </c>
      <c r="C79" s="23"/>
      <c r="D79" s="26">
        <f>+D78+D77+D67</f>
        <v>0</v>
      </c>
      <c r="E79" s="26">
        <f aca="true" t="shared" si="18" ref="E79:AQ79">+E78+E77+E67</f>
        <v>0</v>
      </c>
      <c r="F79" s="26">
        <f t="shared" si="18"/>
        <v>0</v>
      </c>
      <c r="G79" s="26">
        <f t="shared" si="18"/>
        <v>0</v>
      </c>
      <c r="H79" s="26">
        <f t="shared" si="18"/>
        <v>0</v>
      </c>
      <c r="I79" s="26">
        <f t="shared" si="18"/>
        <v>0</v>
      </c>
      <c r="J79" s="26">
        <f t="shared" si="18"/>
        <v>0</v>
      </c>
      <c r="K79" s="26">
        <f t="shared" si="18"/>
        <v>0</v>
      </c>
      <c r="L79" s="26">
        <f t="shared" si="18"/>
        <v>0</v>
      </c>
      <c r="M79" s="26">
        <f t="shared" si="18"/>
        <v>0</v>
      </c>
      <c r="N79" s="26">
        <f t="shared" si="18"/>
        <v>0</v>
      </c>
      <c r="O79" s="26">
        <f t="shared" si="18"/>
        <v>0</v>
      </c>
      <c r="P79" s="26">
        <f t="shared" si="18"/>
        <v>0</v>
      </c>
      <c r="Q79" s="26">
        <f t="shared" si="18"/>
        <v>0</v>
      </c>
      <c r="R79" s="26">
        <f t="shared" si="18"/>
        <v>0</v>
      </c>
      <c r="S79" s="26">
        <f t="shared" si="18"/>
        <v>0</v>
      </c>
      <c r="T79" s="26">
        <f t="shared" si="18"/>
        <v>0</v>
      </c>
      <c r="U79" s="26">
        <f t="shared" si="18"/>
        <v>0</v>
      </c>
      <c r="V79" s="26">
        <f t="shared" si="18"/>
        <v>0</v>
      </c>
      <c r="W79" s="26">
        <f t="shared" si="18"/>
        <v>0</v>
      </c>
      <c r="X79" s="26">
        <f t="shared" si="18"/>
        <v>0</v>
      </c>
      <c r="Y79" s="26">
        <f t="shared" si="18"/>
        <v>0</v>
      </c>
      <c r="Z79" s="26">
        <f t="shared" si="18"/>
        <v>0</v>
      </c>
      <c r="AA79" s="26">
        <f t="shared" si="18"/>
        <v>0</v>
      </c>
      <c r="AB79" s="26">
        <f t="shared" si="18"/>
        <v>0</v>
      </c>
      <c r="AC79" s="26">
        <f t="shared" si="18"/>
        <v>0</v>
      </c>
      <c r="AD79" s="26">
        <f t="shared" si="18"/>
        <v>0</v>
      </c>
      <c r="AE79" s="26">
        <f t="shared" si="18"/>
        <v>0</v>
      </c>
      <c r="AF79" s="26">
        <f t="shared" si="18"/>
        <v>0</v>
      </c>
      <c r="AG79" s="26">
        <f t="shared" si="18"/>
        <v>0</v>
      </c>
      <c r="AH79" s="26">
        <f t="shared" si="18"/>
        <v>0</v>
      </c>
      <c r="AI79" s="26">
        <f t="shared" si="18"/>
        <v>0</v>
      </c>
      <c r="AJ79" s="26">
        <f t="shared" si="18"/>
        <v>0</v>
      </c>
      <c r="AK79" s="26">
        <f t="shared" si="18"/>
        <v>0</v>
      </c>
      <c r="AL79" s="26">
        <f t="shared" si="18"/>
        <v>0</v>
      </c>
      <c r="AM79" s="26">
        <f t="shared" si="18"/>
        <v>0</v>
      </c>
      <c r="AN79" s="26">
        <f t="shared" si="18"/>
        <v>0</v>
      </c>
      <c r="AO79" s="26">
        <f t="shared" si="18"/>
        <v>0</v>
      </c>
      <c r="AP79" s="26">
        <f t="shared" si="18"/>
        <v>0</v>
      </c>
      <c r="AQ79" s="26">
        <f t="shared" si="18"/>
        <v>0</v>
      </c>
      <c r="AR79" s="21"/>
      <c r="AS79" s="193"/>
      <c r="AT79" s="153"/>
      <c r="AU79" s="153"/>
    </row>
    <row r="80" spans="2:47" s="126" customFormat="1" ht="12">
      <c r="B80" s="1"/>
      <c r="C80" s="16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177"/>
      <c r="AS80" s="201"/>
      <c r="AT80" s="201"/>
      <c r="AU80" s="201"/>
    </row>
    <row r="81" spans="2:47" s="126" customFormat="1" ht="12">
      <c r="B81" s="196" t="s">
        <v>75</v>
      </c>
      <c r="C81" s="197">
        <v>0</v>
      </c>
      <c r="D81" s="197">
        <v>1</v>
      </c>
      <c r="E81" s="197">
        <v>2</v>
      </c>
      <c r="F81" s="197">
        <v>3</v>
      </c>
      <c r="G81" s="197">
        <v>4</v>
      </c>
      <c r="H81" s="197">
        <v>5</v>
      </c>
      <c r="I81" s="197">
        <v>6</v>
      </c>
      <c r="J81" s="197">
        <v>7</v>
      </c>
      <c r="K81" s="197">
        <v>8</v>
      </c>
      <c r="L81" s="197">
        <v>9</v>
      </c>
      <c r="M81" s="197">
        <v>10</v>
      </c>
      <c r="N81" s="197">
        <v>11</v>
      </c>
      <c r="O81" s="197">
        <v>12</v>
      </c>
      <c r="P81" s="197">
        <v>13</v>
      </c>
      <c r="Q81" s="197">
        <v>14</v>
      </c>
      <c r="R81" s="197">
        <v>15</v>
      </c>
      <c r="S81" s="197">
        <v>16</v>
      </c>
      <c r="T81" s="197">
        <v>17</v>
      </c>
      <c r="U81" s="197">
        <v>18</v>
      </c>
      <c r="V81" s="197">
        <v>19</v>
      </c>
      <c r="W81" s="197">
        <v>20</v>
      </c>
      <c r="X81" s="197">
        <v>21</v>
      </c>
      <c r="Y81" s="197">
        <v>22</v>
      </c>
      <c r="Z81" s="197">
        <v>23</v>
      </c>
      <c r="AA81" s="197">
        <v>24</v>
      </c>
      <c r="AB81" s="197">
        <v>25</v>
      </c>
      <c r="AC81" s="197">
        <v>26</v>
      </c>
      <c r="AD81" s="197">
        <v>27</v>
      </c>
      <c r="AE81" s="197">
        <v>28</v>
      </c>
      <c r="AF81" s="197">
        <v>29</v>
      </c>
      <c r="AG81" s="197">
        <v>30</v>
      </c>
      <c r="AH81" s="197">
        <v>31</v>
      </c>
      <c r="AI81" s="197">
        <v>32</v>
      </c>
      <c r="AJ81" s="197">
        <v>33</v>
      </c>
      <c r="AK81" s="197">
        <v>34</v>
      </c>
      <c r="AL81" s="197">
        <v>35</v>
      </c>
      <c r="AM81" s="197">
        <v>36</v>
      </c>
      <c r="AN81" s="197">
        <v>37</v>
      </c>
      <c r="AO81" s="197">
        <v>38</v>
      </c>
      <c r="AP81" s="197">
        <v>39</v>
      </c>
      <c r="AQ81" s="197">
        <v>40</v>
      </c>
      <c r="AR81" s="21"/>
      <c r="AT81" s="36"/>
      <c r="AU81" s="36"/>
    </row>
    <row r="82" spans="2:58" s="155" customFormat="1" ht="12">
      <c r="B82" s="300" t="s">
        <v>80</v>
      </c>
      <c r="C82" s="155">
        <f>C57</f>
        <v>-1742857.6706206894</v>
      </c>
      <c r="D82" s="155">
        <f>D42+D49</f>
        <v>-44152.39655172413</v>
      </c>
      <c r="E82" s="155">
        <f aca="true" t="shared" si="19" ref="E82:AQ82">E42+E49</f>
        <v>-44744.96818965516</v>
      </c>
      <c r="F82" s="155">
        <f t="shared" si="19"/>
        <v>-45349.39126034482</v>
      </c>
      <c r="G82" s="155">
        <f t="shared" si="19"/>
        <v>-45965.902792448265</v>
      </c>
      <c r="H82" s="155">
        <f t="shared" si="19"/>
        <v>-46594.744555193785</v>
      </c>
      <c r="I82" s="155">
        <f t="shared" si="19"/>
        <v>-47236.16315319421</v>
      </c>
      <c r="J82" s="155">
        <f t="shared" si="19"/>
        <v>-47890.410123154645</v>
      </c>
      <c r="K82" s="155">
        <f t="shared" si="19"/>
        <v>-48557.742032514296</v>
      </c>
      <c r="L82" s="155">
        <f t="shared" si="19"/>
        <v>-49238.42058006113</v>
      </c>
      <c r="M82" s="155">
        <f t="shared" si="19"/>
        <v>-49932.712698558906</v>
      </c>
      <c r="N82" s="155">
        <f t="shared" si="19"/>
        <v>-50640.89065942663</v>
      </c>
      <c r="O82" s="155">
        <f t="shared" si="19"/>
        <v>-51363.23217951172</v>
      </c>
      <c r="P82" s="155">
        <f t="shared" si="19"/>
        <v>-52100.0205299985</v>
      </c>
      <c r="Q82" s="155">
        <f t="shared" si="19"/>
        <v>-52851.54464749503</v>
      </c>
      <c r="R82" s="155">
        <f t="shared" si="19"/>
        <v>-53618.09924734147</v>
      </c>
      <c r="S82" s="155">
        <f t="shared" si="19"/>
        <v>-54399.98493918486</v>
      </c>
      <c r="T82" s="155">
        <f t="shared" si="19"/>
        <v>-55197.50834486511</v>
      </c>
      <c r="U82" s="155">
        <f t="shared" si="19"/>
        <v>-56010.98221865896</v>
      </c>
      <c r="V82" s="155">
        <f t="shared" si="19"/>
        <v>-56840.72556992869</v>
      </c>
      <c r="W82" s="155">
        <f t="shared" si="19"/>
        <v>-57687.06378822388</v>
      </c>
      <c r="X82" s="155">
        <f t="shared" si="19"/>
        <v>0</v>
      </c>
      <c r="Y82" s="155">
        <f t="shared" si="19"/>
        <v>0</v>
      </c>
      <c r="Z82" s="155">
        <f t="shared" si="19"/>
        <v>0</v>
      </c>
      <c r="AA82" s="155">
        <f t="shared" si="19"/>
        <v>0</v>
      </c>
      <c r="AB82" s="155">
        <f t="shared" si="19"/>
        <v>0</v>
      </c>
      <c r="AC82" s="155">
        <f t="shared" si="19"/>
        <v>0</v>
      </c>
      <c r="AD82" s="155">
        <f t="shared" si="19"/>
        <v>0</v>
      </c>
      <c r="AE82" s="155">
        <f t="shared" si="19"/>
        <v>0</v>
      </c>
      <c r="AF82" s="155">
        <f t="shared" si="19"/>
        <v>0</v>
      </c>
      <c r="AG82" s="155">
        <f t="shared" si="19"/>
        <v>0</v>
      </c>
      <c r="AH82" s="155">
        <f t="shared" si="19"/>
        <v>0</v>
      </c>
      <c r="AI82" s="155">
        <f t="shared" si="19"/>
        <v>0</v>
      </c>
      <c r="AJ82" s="155">
        <f t="shared" si="19"/>
        <v>0</v>
      </c>
      <c r="AK82" s="155">
        <f t="shared" si="19"/>
        <v>0</v>
      </c>
      <c r="AL82" s="155">
        <f t="shared" si="19"/>
        <v>0</v>
      </c>
      <c r="AM82" s="155">
        <f t="shared" si="19"/>
        <v>0</v>
      </c>
      <c r="AN82" s="155">
        <f t="shared" si="19"/>
        <v>0</v>
      </c>
      <c r="AO82" s="155">
        <f t="shared" si="19"/>
        <v>0</v>
      </c>
      <c r="AP82" s="155">
        <f t="shared" si="19"/>
        <v>0</v>
      </c>
      <c r="AQ82" s="155">
        <f t="shared" si="19"/>
        <v>0</v>
      </c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</row>
    <row r="83" spans="2:58" s="155" customFormat="1" ht="12">
      <c r="B83" s="300" t="s">
        <v>367</v>
      </c>
      <c r="D83" s="155">
        <f>$M$7+($M8*D$33)</f>
        <v>74341.01674137931</v>
      </c>
      <c r="E83" s="155">
        <f>($M9*E$33)</f>
        <v>73820.62962418965</v>
      </c>
      <c r="F83" s="155">
        <f>($M10*F$33)</f>
        <v>73303.88521682032</v>
      </c>
      <c r="G83" s="155">
        <f>($M11*G$33)</f>
        <v>72790.75802030257</v>
      </c>
      <c r="H83" s="155">
        <f>($M12*H$33)</f>
        <v>72281.22271416045</v>
      </c>
      <c r="I83" s="155">
        <f>($M13*I$33)</f>
        <v>0</v>
      </c>
      <c r="J83" s="155">
        <f>($M14*J$33)</f>
        <v>0</v>
      </c>
      <c r="K83" s="155">
        <f>($M15*K$33)</f>
        <v>0</v>
      </c>
      <c r="L83" s="155">
        <f>($M16*L$33)</f>
        <v>0</v>
      </c>
      <c r="M83" s="155">
        <f>($M17*M$33)</f>
        <v>0</v>
      </c>
      <c r="N83" s="155">
        <f>($M18*N$33)</f>
        <v>0</v>
      </c>
      <c r="O83" s="155">
        <f>($M19*O$33)</f>
        <v>0</v>
      </c>
      <c r="P83" s="155">
        <f>($M20*P$33)</f>
        <v>0</v>
      </c>
      <c r="Q83" s="155">
        <f>($M21*Q$33)</f>
        <v>0</v>
      </c>
      <c r="R83" s="155">
        <f>($M22*R$33)</f>
        <v>0</v>
      </c>
      <c r="S83" s="155">
        <f>($M23*S$33)</f>
        <v>0</v>
      </c>
      <c r="T83" s="155">
        <f>($M24*T$33)</f>
        <v>0</v>
      </c>
      <c r="U83" s="155">
        <f>($M25*U$33)</f>
        <v>0</v>
      </c>
      <c r="V83" s="155">
        <f>($M26*V$33)</f>
        <v>0</v>
      </c>
      <c r="W83" s="155">
        <f>($M27*W$33)</f>
        <v>0</v>
      </c>
      <c r="X83" s="155">
        <f>($M8*X$33)</f>
        <v>0</v>
      </c>
      <c r="Y83" s="155">
        <f>20*Y33</f>
        <v>0</v>
      </c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</row>
    <row r="84" spans="2:58" ht="12">
      <c r="B84" s="111" t="s">
        <v>112</v>
      </c>
      <c r="C84" s="172"/>
      <c r="D84" s="157">
        <f aca="true" t="shared" si="20" ref="D84:AQ84">-((D42+D45-D64+D48)*$H$8)</f>
        <v>0</v>
      </c>
      <c r="E84" s="157">
        <f t="shared" si="20"/>
        <v>0</v>
      </c>
      <c r="F84" s="157">
        <f t="shared" si="20"/>
        <v>0</v>
      </c>
      <c r="G84" s="157">
        <f t="shared" si="20"/>
        <v>0</v>
      </c>
      <c r="H84" s="157">
        <f t="shared" si="20"/>
        <v>0</v>
      </c>
      <c r="I84" s="157">
        <f t="shared" si="20"/>
        <v>0</v>
      </c>
      <c r="J84" s="157">
        <f t="shared" si="20"/>
        <v>0</v>
      </c>
      <c r="K84" s="157">
        <f t="shared" si="20"/>
        <v>0</v>
      </c>
      <c r="L84" s="157">
        <f t="shared" si="20"/>
        <v>0</v>
      </c>
      <c r="M84" s="157">
        <f t="shared" si="20"/>
        <v>0</v>
      </c>
      <c r="N84" s="157">
        <f t="shared" si="20"/>
        <v>0</v>
      </c>
      <c r="O84" s="157">
        <f t="shared" si="20"/>
        <v>0</v>
      </c>
      <c r="P84" s="157">
        <f t="shared" si="20"/>
        <v>0</v>
      </c>
      <c r="Q84" s="157">
        <f t="shared" si="20"/>
        <v>0</v>
      </c>
      <c r="R84" s="157">
        <f t="shared" si="20"/>
        <v>0</v>
      </c>
      <c r="S84" s="157">
        <f t="shared" si="20"/>
        <v>0</v>
      </c>
      <c r="T84" s="157">
        <f t="shared" si="20"/>
        <v>0</v>
      </c>
      <c r="U84" s="157">
        <f t="shared" si="20"/>
        <v>0</v>
      </c>
      <c r="V84" s="157">
        <f t="shared" si="20"/>
        <v>0</v>
      </c>
      <c r="W84" s="157">
        <f t="shared" si="20"/>
        <v>0</v>
      </c>
      <c r="X84" s="157">
        <f t="shared" si="20"/>
        <v>0</v>
      </c>
      <c r="Y84" s="157">
        <f t="shared" si="20"/>
        <v>0</v>
      </c>
      <c r="Z84" s="157">
        <f t="shared" si="20"/>
        <v>0</v>
      </c>
      <c r="AA84" s="157">
        <f t="shared" si="20"/>
        <v>0</v>
      </c>
      <c r="AB84" s="157">
        <f t="shared" si="20"/>
        <v>0</v>
      </c>
      <c r="AC84" s="157">
        <f t="shared" si="20"/>
        <v>0</v>
      </c>
      <c r="AD84" s="157">
        <f t="shared" si="20"/>
        <v>0</v>
      </c>
      <c r="AE84" s="157">
        <f t="shared" si="20"/>
        <v>0</v>
      </c>
      <c r="AF84" s="157">
        <f t="shared" si="20"/>
        <v>0</v>
      </c>
      <c r="AG84" s="157">
        <f t="shared" si="20"/>
        <v>0</v>
      </c>
      <c r="AH84" s="157">
        <f t="shared" si="20"/>
        <v>0</v>
      </c>
      <c r="AI84" s="157">
        <f t="shared" si="20"/>
        <v>0</v>
      </c>
      <c r="AJ84" s="157">
        <f t="shared" si="20"/>
        <v>0</v>
      </c>
      <c r="AK84" s="157">
        <f t="shared" si="20"/>
        <v>0</v>
      </c>
      <c r="AL84" s="157">
        <f t="shared" si="20"/>
        <v>0</v>
      </c>
      <c r="AM84" s="157">
        <f t="shared" si="20"/>
        <v>0</v>
      </c>
      <c r="AN84" s="157">
        <f t="shared" si="20"/>
        <v>0</v>
      </c>
      <c r="AO84" s="157">
        <f t="shared" si="20"/>
        <v>0</v>
      </c>
      <c r="AP84" s="157">
        <f t="shared" si="20"/>
        <v>0</v>
      </c>
      <c r="AQ84" s="157">
        <f t="shared" si="20"/>
        <v>0</v>
      </c>
      <c r="AR84" s="126"/>
      <c r="AS84" s="203"/>
      <c r="AT84" s="203"/>
      <c r="AU84" s="203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</row>
    <row r="85" spans="2:58" ht="12">
      <c r="B85" s="13" t="s">
        <v>113</v>
      </c>
      <c r="D85" s="157">
        <f aca="true" t="shared" si="21" ref="D85:AQ85">-((D42+D45-D73+D48+D84)*$H$7-D78)</f>
        <v>0</v>
      </c>
      <c r="E85" s="157">
        <f t="shared" si="21"/>
        <v>0</v>
      </c>
      <c r="F85" s="157">
        <v>0</v>
      </c>
      <c r="G85" s="157">
        <f t="shared" si="21"/>
        <v>0</v>
      </c>
      <c r="H85" s="157">
        <f t="shared" si="21"/>
        <v>0</v>
      </c>
      <c r="I85" s="157">
        <f t="shared" si="21"/>
        <v>0</v>
      </c>
      <c r="J85" s="157">
        <f t="shared" si="21"/>
        <v>0</v>
      </c>
      <c r="K85" s="157">
        <v>0</v>
      </c>
      <c r="L85" s="157">
        <f t="shared" si="21"/>
        <v>0</v>
      </c>
      <c r="M85" s="157">
        <f t="shared" si="21"/>
        <v>0</v>
      </c>
      <c r="N85" s="157">
        <f t="shared" si="21"/>
        <v>0</v>
      </c>
      <c r="O85" s="157">
        <f t="shared" si="21"/>
        <v>0</v>
      </c>
      <c r="P85" s="157">
        <v>0</v>
      </c>
      <c r="Q85" s="157">
        <f t="shared" si="21"/>
        <v>0</v>
      </c>
      <c r="R85" s="157">
        <f t="shared" si="21"/>
        <v>0</v>
      </c>
      <c r="S85" s="157">
        <f t="shared" si="21"/>
        <v>0</v>
      </c>
      <c r="T85" s="157">
        <f t="shared" si="21"/>
        <v>0</v>
      </c>
      <c r="U85" s="157">
        <f t="shared" si="21"/>
        <v>0</v>
      </c>
      <c r="V85" s="157">
        <f t="shared" si="21"/>
        <v>0</v>
      </c>
      <c r="W85" s="157">
        <f t="shared" si="21"/>
        <v>0</v>
      </c>
      <c r="X85" s="157">
        <f t="shared" si="21"/>
        <v>0</v>
      </c>
      <c r="Y85" s="157">
        <f t="shared" si="21"/>
        <v>0</v>
      </c>
      <c r="Z85" s="157">
        <f t="shared" si="21"/>
        <v>0</v>
      </c>
      <c r="AA85" s="157">
        <f t="shared" si="21"/>
        <v>0</v>
      </c>
      <c r="AB85" s="157">
        <f t="shared" si="21"/>
        <v>0</v>
      </c>
      <c r="AC85" s="157">
        <f t="shared" si="21"/>
        <v>0</v>
      </c>
      <c r="AD85" s="157">
        <f t="shared" si="21"/>
        <v>0</v>
      </c>
      <c r="AE85" s="157">
        <f t="shared" si="21"/>
        <v>0</v>
      </c>
      <c r="AF85" s="157">
        <f t="shared" si="21"/>
        <v>0</v>
      </c>
      <c r="AG85" s="157">
        <f t="shared" si="21"/>
        <v>0</v>
      </c>
      <c r="AH85" s="157">
        <f t="shared" si="21"/>
        <v>0</v>
      </c>
      <c r="AI85" s="157">
        <f t="shared" si="21"/>
        <v>0</v>
      </c>
      <c r="AJ85" s="157">
        <f t="shared" si="21"/>
        <v>0</v>
      </c>
      <c r="AK85" s="157">
        <f t="shared" si="21"/>
        <v>0</v>
      </c>
      <c r="AL85" s="157">
        <f t="shared" si="21"/>
        <v>0</v>
      </c>
      <c r="AM85" s="157">
        <f t="shared" si="21"/>
        <v>0</v>
      </c>
      <c r="AN85" s="157">
        <f t="shared" si="21"/>
        <v>0</v>
      </c>
      <c r="AO85" s="157">
        <f t="shared" si="21"/>
        <v>0</v>
      </c>
      <c r="AP85" s="157">
        <f t="shared" si="21"/>
        <v>0</v>
      </c>
      <c r="AQ85" s="157">
        <f t="shared" si="21"/>
        <v>0</v>
      </c>
      <c r="AR85" s="126"/>
      <c r="AS85" s="126"/>
      <c r="AT85" s="126"/>
      <c r="AU85" s="126"/>
      <c r="AV85" s="203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</row>
    <row r="86" spans="2:58" ht="12">
      <c r="B86" s="111" t="s">
        <v>148</v>
      </c>
      <c r="D86" s="157">
        <f>D85+D84</f>
        <v>0</v>
      </c>
      <c r="E86" s="157">
        <f aca="true" t="shared" si="22" ref="E86:AQ86">E85+E84</f>
        <v>0</v>
      </c>
      <c r="F86" s="157">
        <v>0</v>
      </c>
      <c r="G86" s="157">
        <f t="shared" si="22"/>
        <v>0</v>
      </c>
      <c r="H86" s="157">
        <f t="shared" si="22"/>
        <v>0</v>
      </c>
      <c r="I86" s="157">
        <f t="shared" si="22"/>
        <v>0</v>
      </c>
      <c r="J86" s="157">
        <f t="shared" si="22"/>
        <v>0</v>
      </c>
      <c r="K86" s="157">
        <v>0</v>
      </c>
      <c r="L86" s="157">
        <f t="shared" si="22"/>
        <v>0</v>
      </c>
      <c r="M86" s="157">
        <f t="shared" si="22"/>
        <v>0</v>
      </c>
      <c r="N86" s="157">
        <f t="shared" si="22"/>
        <v>0</v>
      </c>
      <c r="O86" s="157">
        <f t="shared" si="22"/>
        <v>0</v>
      </c>
      <c r="P86" s="157">
        <v>0</v>
      </c>
      <c r="Q86" s="157">
        <f t="shared" si="22"/>
        <v>0</v>
      </c>
      <c r="R86" s="157">
        <f t="shared" si="22"/>
        <v>0</v>
      </c>
      <c r="S86" s="157">
        <f t="shared" si="22"/>
        <v>0</v>
      </c>
      <c r="T86" s="157">
        <f t="shared" si="22"/>
        <v>0</v>
      </c>
      <c r="U86" s="157">
        <f t="shared" si="22"/>
        <v>0</v>
      </c>
      <c r="V86" s="157">
        <f t="shared" si="22"/>
        <v>0</v>
      </c>
      <c r="W86" s="157">
        <f t="shared" si="22"/>
        <v>0</v>
      </c>
      <c r="X86" s="157">
        <f t="shared" si="22"/>
        <v>0</v>
      </c>
      <c r="Y86" s="157">
        <f t="shared" si="22"/>
        <v>0</v>
      </c>
      <c r="Z86" s="157">
        <f t="shared" si="22"/>
        <v>0</v>
      </c>
      <c r="AA86" s="157">
        <f t="shared" si="22"/>
        <v>0</v>
      </c>
      <c r="AB86" s="157">
        <f t="shared" si="22"/>
        <v>0</v>
      </c>
      <c r="AC86" s="157">
        <f t="shared" si="22"/>
        <v>0</v>
      </c>
      <c r="AD86" s="157">
        <f t="shared" si="22"/>
        <v>0</v>
      </c>
      <c r="AE86" s="157">
        <f t="shared" si="22"/>
        <v>0</v>
      </c>
      <c r="AF86" s="157">
        <f t="shared" si="22"/>
        <v>0</v>
      </c>
      <c r="AG86" s="157">
        <f t="shared" si="22"/>
        <v>0</v>
      </c>
      <c r="AH86" s="157">
        <f t="shared" si="22"/>
        <v>0</v>
      </c>
      <c r="AI86" s="157">
        <f t="shared" si="22"/>
        <v>0</v>
      </c>
      <c r="AJ86" s="157">
        <f t="shared" si="22"/>
        <v>0</v>
      </c>
      <c r="AK86" s="157">
        <f t="shared" si="22"/>
        <v>0</v>
      </c>
      <c r="AL86" s="157">
        <f t="shared" si="22"/>
        <v>0</v>
      </c>
      <c r="AM86" s="157">
        <f t="shared" si="22"/>
        <v>0</v>
      </c>
      <c r="AN86" s="157">
        <f t="shared" si="22"/>
        <v>0</v>
      </c>
      <c r="AO86" s="157">
        <f t="shared" si="22"/>
        <v>0</v>
      </c>
      <c r="AP86" s="157">
        <f t="shared" si="22"/>
        <v>0</v>
      </c>
      <c r="AQ86" s="157">
        <f t="shared" si="22"/>
        <v>0</v>
      </c>
      <c r="AR86" s="126"/>
      <c r="AS86" s="126"/>
      <c r="AT86" s="126"/>
      <c r="AU86" s="126"/>
      <c r="AV86" s="203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</row>
    <row r="87" spans="2:58" s="155" customFormat="1" ht="12">
      <c r="B87" s="300" t="s">
        <v>69</v>
      </c>
      <c r="C87" s="155">
        <f>C82</f>
        <v>-1742857.6706206894</v>
      </c>
      <c r="D87" s="155">
        <f aca="true" t="shared" si="23" ref="D87:Z87">D82+D86+D83</f>
        <v>30188.62018965518</v>
      </c>
      <c r="E87" s="155">
        <f t="shared" si="23"/>
        <v>29075.661434534486</v>
      </c>
      <c r="F87" s="155">
        <f t="shared" si="23"/>
        <v>27954.493956475497</v>
      </c>
      <c r="G87" s="155">
        <f t="shared" si="23"/>
        <v>26824.855227854307</v>
      </c>
      <c r="H87" s="155">
        <f t="shared" si="23"/>
        <v>25686.478158966667</v>
      </c>
      <c r="I87" s="155">
        <f t="shared" si="23"/>
        <v>-47236.16315319421</v>
      </c>
      <c r="J87" s="155">
        <f t="shared" si="23"/>
        <v>-47890.410123154645</v>
      </c>
      <c r="K87" s="155">
        <f t="shared" si="23"/>
        <v>-48557.742032514296</v>
      </c>
      <c r="L87" s="155">
        <f t="shared" si="23"/>
        <v>-49238.42058006113</v>
      </c>
      <c r="M87" s="155">
        <f t="shared" si="23"/>
        <v>-49932.712698558906</v>
      </c>
      <c r="N87" s="155">
        <f t="shared" si="23"/>
        <v>-50640.89065942663</v>
      </c>
      <c r="O87" s="155">
        <f t="shared" si="23"/>
        <v>-51363.23217951172</v>
      </c>
      <c r="P87" s="155">
        <f t="shared" si="23"/>
        <v>-52100.0205299985</v>
      </c>
      <c r="Q87" s="155">
        <f t="shared" si="23"/>
        <v>-52851.54464749503</v>
      </c>
      <c r="R87" s="155">
        <f t="shared" si="23"/>
        <v>-53618.09924734147</v>
      </c>
      <c r="S87" s="155">
        <f t="shared" si="23"/>
        <v>-54399.98493918486</v>
      </c>
      <c r="T87" s="155">
        <f t="shared" si="23"/>
        <v>-55197.50834486511</v>
      </c>
      <c r="U87" s="155">
        <f t="shared" si="23"/>
        <v>-56010.98221865896</v>
      </c>
      <c r="V87" s="155">
        <f t="shared" si="23"/>
        <v>-56840.72556992869</v>
      </c>
      <c r="W87" s="155">
        <f t="shared" si="23"/>
        <v>-57687.06378822388</v>
      </c>
      <c r="X87" s="155">
        <f t="shared" si="23"/>
        <v>0</v>
      </c>
      <c r="Y87" s="155">
        <f t="shared" si="23"/>
        <v>0</v>
      </c>
      <c r="Z87" s="155">
        <f t="shared" si="23"/>
        <v>0</v>
      </c>
      <c r="AA87" s="155">
        <f aca="true" t="shared" si="24" ref="AA87:AQ87">AA82+AA86</f>
        <v>0</v>
      </c>
      <c r="AB87" s="155">
        <f t="shared" si="24"/>
        <v>0</v>
      </c>
      <c r="AC87" s="155">
        <f t="shared" si="24"/>
        <v>0</v>
      </c>
      <c r="AD87" s="155">
        <f t="shared" si="24"/>
        <v>0</v>
      </c>
      <c r="AE87" s="155">
        <f t="shared" si="24"/>
        <v>0</v>
      </c>
      <c r="AF87" s="155">
        <f t="shared" si="24"/>
        <v>0</v>
      </c>
      <c r="AG87" s="155">
        <f t="shared" si="24"/>
        <v>0</v>
      </c>
      <c r="AH87" s="155">
        <f t="shared" si="24"/>
        <v>0</v>
      </c>
      <c r="AI87" s="155">
        <f t="shared" si="24"/>
        <v>0</v>
      </c>
      <c r="AJ87" s="155">
        <f t="shared" si="24"/>
        <v>0</v>
      </c>
      <c r="AK87" s="155">
        <f t="shared" si="24"/>
        <v>0</v>
      </c>
      <c r="AL87" s="155">
        <f t="shared" si="24"/>
        <v>0</v>
      </c>
      <c r="AM87" s="155">
        <f t="shared" si="24"/>
        <v>0</v>
      </c>
      <c r="AN87" s="155">
        <f t="shared" si="24"/>
        <v>0</v>
      </c>
      <c r="AO87" s="155">
        <f t="shared" si="24"/>
        <v>0</v>
      </c>
      <c r="AP87" s="155">
        <f t="shared" si="24"/>
        <v>0</v>
      </c>
      <c r="AQ87" s="155">
        <f t="shared" si="24"/>
        <v>0</v>
      </c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</row>
    <row r="88" spans="2:58" ht="12">
      <c r="B88" s="152" t="s">
        <v>92</v>
      </c>
      <c r="C88" s="113">
        <v>0.05</v>
      </c>
      <c r="D88" s="113"/>
      <c r="E88" s="121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6"/>
      <c r="AS88" s="126"/>
      <c r="AT88" s="203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</row>
    <row r="89" spans="2:58" ht="12">
      <c r="B89" s="152" t="s">
        <v>70</v>
      </c>
      <c r="C89" s="204">
        <f>NPV(H20,$D$87:$AQ$87)+$C$87</f>
        <v>-2386693.0623653214</v>
      </c>
      <c r="D89" s="204">
        <f>NPV(C88,C87:W87)</f>
        <v>-1943591.5130171727</v>
      </c>
      <c r="E89" s="204"/>
      <c r="G89" s="205"/>
      <c r="H89" s="206"/>
      <c r="I89" s="2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</row>
    <row r="90" spans="2:58" ht="12">
      <c r="B90" s="173" t="s">
        <v>79</v>
      </c>
      <c r="C90" s="207">
        <f>SUM(D33:W33)</f>
        <v>13919.786488469474</v>
      </c>
      <c r="D90" s="207"/>
      <c r="E90" s="207"/>
      <c r="F90" s="12"/>
      <c r="G90" s="205"/>
      <c r="H90" s="206"/>
      <c r="I90" s="2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</row>
    <row r="91" spans="2:58" ht="12">
      <c r="B91" s="173" t="s">
        <v>93</v>
      </c>
      <c r="C91" s="208">
        <f>-C89/C90</f>
        <v>171.4604648815807</v>
      </c>
      <c r="D91" s="208"/>
      <c r="E91" s="208"/>
      <c r="F91" s="12"/>
      <c r="G91" s="209"/>
      <c r="H91" s="12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</row>
    <row r="92" spans="2:58" ht="12">
      <c r="B92" s="173" t="s">
        <v>71</v>
      </c>
      <c r="C92" s="208">
        <f>C91/(1-$H$9)</f>
        <v>171.4604648815807</v>
      </c>
      <c r="D92" s="208"/>
      <c r="E92" s="208"/>
      <c r="F92" s="175"/>
      <c r="G92" s="175"/>
      <c r="H92" s="175"/>
      <c r="I92" s="210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</row>
    <row r="93" spans="2:58" ht="12">
      <c r="B93" s="173" t="s">
        <v>72</v>
      </c>
      <c r="C93" s="25">
        <f>C92*(1+H23)</f>
        <v>173.1750695303965</v>
      </c>
      <c r="D93" s="25">
        <f aca="true" t="shared" si="25" ref="D93:W93">C93</f>
        <v>173.1750695303965</v>
      </c>
      <c r="E93" s="25">
        <f t="shared" si="25"/>
        <v>173.1750695303965</v>
      </c>
      <c r="F93" s="25">
        <f t="shared" si="25"/>
        <v>173.1750695303965</v>
      </c>
      <c r="G93" s="25">
        <f t="shared" si="25"/>
        <v>173.1750695303965</v>
      </c>
      <c r="H93" s="25">
        <f t="shared" si="25"/>
        <v>173.1750695303965</v>
      </c>
      <c r="I93" s="25">
        <f t="shared" si="25"/>
        <v>173.1750695303965</v>
      </c>
      <c r="J93" s="25">
        <f t="shared" si="25"/>
        <v>173.1750695303965</v>
      </c>
      <c r="K93" s="25">
        <f t="shared" si="25"/>
        <v>173.1750695303965</v>
      </c>
      <c r="L93" s="25">
        <f t="shared" si="25"/>
        <v>173.1750695303965</v>
      </c>
      <c r="M93" s="25">
        <f t="shared" si="25"/>
        <v>173.1750695303965</v>
      </c>
      <c r="N93" s="25">
        <f t="shared" si="25"/>
        <v>173.1750695303965</v>
      </c>
      <c r="O93" s="25">
        <f t="shared" si="25"/>
        <v>173.1750695303965</v>
      </c>
      <c r="P93" s="25">
        <f t="shared" si="25"/>
        <v>173.1750695303965</v>
      </c>
      <c r="Q93" s="25">
        <f t="shared" si="25"/>
        <v>173.1750695303965</v>
      </c>
      <c r="R93" s="25">
        <f t="shared" si="25"/>
        <v>173.1750695303965</v>
      </c>
      <c r="S93" s="25">
        <f t="shared" si="25"/>
        <v>173.1750695303965</v>
      </c>
      <c r="T93" s="25">
        <f t="shared" si="25"/>
        <v>173.1750695303965</v>
      </c>
      <c r="U93" s="25">
        <f t="shared" si="25"/>
        <v>173.1750695303965</v>
      </c>
      <c r="V93" s="25">
        <f t="shared" si="25"/>
        <v>173.1750695303965</v>
      </c>
      <c r="W93" s="25">
        <f t="shared" si="25"/>
        <v>173.1750695303965</v>
      </c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</row>
    <row r="94" spans="2:58" ht="12">
      <c r="B94" s="152"/>
      <c r="C94" s="204"/>
      <c r="D94" s="12"/>
      <c r="E94" s="12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</row>
    <row r="95" spans="2:47" ht="12">
      <c r="B95" s="211" t="s">
        <v>21</v>
      </c>
      <c r="C95" s="212">
        <v>0</v>
      </c>
      <c r="D95" s="212">
        <v>1</v>
      </c>
      <c r="E95" s="212">
        <v>2</v>
      </c>
      <c r="F95" s="212">
        <v>3</v>
      </c>
      <c r="G95" s="212">
        <v>4</v>
      </c>
      <c r="H95" s="212">
        <v>5</v>
      </c>
      <c r="I95" s="212">
        <v>6</v>
      </c>
      <c r="J95" s="212">
        <v>7</v>
      </c>
      <c r="K95" s="212">
        <v>8</v>
      </c>
      <c r="L95" s="212">
        <v>9</v>
      </c>
      <c r="M95" s="212">
        <v>10</v>
      </c>
      <c r="N95" s="212">
        <v>11</v>
      </c>
      <c r="O95" s="212">
        <v>12</v>
      </c>
      <c r="P95" s="212">
        <v>13</v>
      </c>
      <c r="Q95" s="212">
        <v>14</v>
      </c>
      <c r="R95" s="212">
        <v>15</v>
      </c>
      <c r="S95" s="212">
        <v>16</v>
      </c>
      <c r="T95" s="212">
        <v>17</v>
      </c>
      <c r="U95" s="212">
        <v>18</v>
      </c>
      <c r="V95" s="212">
        <v>19</v>
      </c>
      <c r="W95" s="212">
        <v>20</v>
      </c>
      <c r="X95" s="212">
        <v>21</v>
      </c>
      <c r="Y95" s="212">
        <v>22</v>
      </c>
      <c r="Z95" s="212">
        <v>23</v>
      </c>
      <c r="AA95" s="212">
        <v>24</v>
      </c>
      <c r="AB95" s="212">
        <v>25</v>
      </c>
      <c r="AC95" s="212">
        <v>26</v>
      </c>
      <c r="AD95" s="212">
        <v>27</v>
      </c>
      <c r="AE95" s="212">
        <v>28</v>
      </c>
      <c r="AF95" s="212">
        <v>29</v>
      </c>
      <c r="AG95" s="212">
        <v>30</v>
      </c>
      <c r="AH95" s="212">
        <v>31</v>
      </c>
      <c r="AI95" s="212">
        <v>32</v>
      </c>
      <c r="AJ95" s="212">
        <v>33</v>
      </c>
      <c r="AK95" s="212">
        <v>34</v>
      </c>
      <c r="AL95" s="212">
        <v>35</v>
      </c>
      <c r="AM95" s="212">
        <v>36</v>
      </c>
      <c r="AN95" s="212">
        <v>37</v>
      </c>
      <c r="AO95" s="212">
        <v>38</v>
      </c>
      <c r="AP95" s="212">
        <v>39</v>
      </c>
      <c r="AQ95" s="212">
        <v>40</v>
      </c>
      <c r="AR95" s="213"/>
      <c r="AS95" s="213"/>
      <c r="AT95" s="213"/>
      <c r="AU95" s="213"/>
    </row>
    <row r="96" spans="2:47" ht="12">
      <c r="B96" s="214" t="s">
        <v>58</v>
      </c>
      <c r="C96" s="18"/>
      <c r="D96" s="215">
        <f aca="true" t="shared" si="26" ref="D96:W96">IF(D98&gt;0,1,0)</f>
        <v>0</v>
      </c>
      <c r="E96" s="215">
        <f t="shared" si="26"/>
        <v>0</v>
      </c>
      <c r="F96" s="215">
        <f t="shared" si="26"/>
        <v>0</v>
      </c>
      <c r="G96" s="215">
        <f t="shared" si="26"/>
        <v>0</v>
      </c>
      <c r="H96" s="215">
        <f t="shared" si="26"/>
        <v>0</v>
      </c>
      <c r="I96" s="215">
        <f t="shared" si="26"/>
        <v>0</v>
      </c>
      <c r="J96" s="215">
        <f t="shared" si="26"/>
        <v>0</v>
      </c>
      <c r="K96" s="215">
        <f t="shared" si="26"/>
        <v>0</v>
      </c>
      <c r="L96" s="215">
        <f t="shared" si="26"/>
        <v>0</v>
      </c>
      <c r="M96" s="215">
        <f t="shared" si="26"/>
        <v>0</v>
      </c>
      <c r="N96" s="215">
        <f t="shared" si="26"/>
        <v>0</v>
      </c>
      <c r="O96" s="215">
        <f t="shared" si="26"/>
        <v>0</v>
      </c>
      <c r="P96" s="215">
        <f t="shared" si="26"/>
        <v>0</v>
      </c>
      <c r="Q96" s="215">
        <f t="shared" si="26"/>
        <v>0</v>
      </c>
      <c r="R96" s="215">
        <f t="shared" si="26"/>
        <v>0</v>
      </c>
      <c r="S96" s="215">
        <f t="shared" si="26"/>
        <v>0</v>
      </c>
      <c r="T96" s="215">
        <f t="shared" si="26"/>
        <v>0</v>
      </c>
      <c r="U96" s="215">
        <f t="shared" si="26"/>
        <v>0</v>
      </c>
      <c r="V96" s="215">
        <f t="shared" si="26"/>
        <v>0</v>
      </c>
      <c r="W96" s="215">
        <f t="shared" si="26"/>
        <v>0</v>
      </c>
      <c r="X96" s="215">
        <f aca="true" t="shared" si="27" ref="X96:AQ96">IF(X98&gt;0,1,0)</f>
        <v>0</v>
      </c>
      <c r="Y96" s="215">
        <f t="shared" si="27"/>
        <v>0</v>
      </c>
      <c r="Z96" s="215">
        <f t="shared" si="27"/>
        <v>0</v>
      </c>
      <c r="AA96" s="215">
        <f t="shared" si="27"/>
        <v>0</v>
      </c>
      <c r="AB96" s="215">
        <f t="shared" si="27"/>
        <v>0</v>
      </c>
      <c r="AC96" s="215">
        <f t="shared" si="27"/>
        <v>0</v>
      </c>
      <c r="AD96" s="215">
        <f t="shared" si="27"/>
        <v>0</v>
      </c>
      <c r="AE96" s="215">
        <f t="shared" si="27"/>
        <v>0</v>
      </c>
      <c r="AF96" s="215">
        <f t="shared" si="27"/>
        <v>0</v>
      </c>
      <c r="AG96" s="215">
        <f t="shared" si="27"/>
        <v>0</v>
      </c>
      <c r="AH96" s="215">
        <f t="shared" si="27"/>
        <v>0</v>
      </c>
      <c r="AI96" s="215">
        <f t="shared" si="27"/>
        <v>0</v>
      </c>
      <c r="AJ96" s="215">
        <f t="shared" si="27"/>
        <v>0</v>
      </c>
      <c r="AK96" s="215">
        <f t="shared" si="27"/>
        <v>0</v>
      </c>
      <c r="AL96" s="215">
        <f t="shared" si="27"/>
        <v>0</v>
      </c>
      <c r="AM96" s="215">
        <f t="shared" si="27"/>
        <v>0</v>
      </c>
      <c r="AN96" s="215">
        <f t="shared" si="27"/>
        <v>0</v>
      </c>
      <c r="AO96" s="215">
        <f t="shared" si="27"/>
        <v>0</v>
      </c>
      <c r="AP96" s="215">
        <f t="shared" si="27"/>
        <v>0</v>
      </c>
      <c r="AQ96" s="215">
        <f t="shared" si="27"/>
        <v>0</v>
      </c>
      <c r="AR96" s="126"/>
      <c r="AS96" s="126"/>
      <c r="AT96" s="126"/>
      <c r="AU96" s="126"/>
    </row>
    <row r="97" spans="2:47" s="213" customFormat="1" ht="12">
      <c r="B97" s="126" t="s">
        <v>17</v>
      </c>
      <c r="C97" s="3"/>
      <c r="D97" s="216">
        <f aca="true" t="shared" si="28" ref="D97:AQ97">C102</f>
        <v>0</v>
      </c>
      <c r="E97" s="216">
        <f>D102</f>
        <v>0</v>
      </c>
      <c r="F97" s="216">
        <f t="shared" si="28"/>
        <v>0</v>
      </c>
      <c r="G97" s="216">
        <f t="shared" si="28"/>
        <v>0</v>
      </c>
      <c r="H97" s="216">
        <f t="shared" si="28"/>
        <v>0</v>
      </c>
      <c r="I97" s="216">
        <f>H102</f>
        <v>0</v>
      </c>
      <c r="J97" s="216">
        <f t="shared" si="28"/>
        <v>0</v>
      </c>
      <c r="K97" s="216">
        <f t="shared" si="28"/>
        <v>0</v>
      </c>
      <c r="L97" s="216">
        <f t="shared" si="28"/>
        <v>0</v>
      </c>
      <c r="M97" s="216">
        <f t="shared" si="28"/>
        <v>0</v>
      </c>
      <c r="N97" s="216">
        <f t="shared" si="28"/>
        <v>0</v>
      </c>
      <c r="O97" s="216">
        <f t="shared" si="28"/>
        <v>0</v>
      </c>
      <c r="P97" s="216">
        <f t="shared" si="28"/>
        <v>0</v>
      </c>
      <c r="Q97" s="216">
        <f t="shared" si="28"/>
        <v>0</v>
      </c>
      <c r="R97" s="216">
        <f t="shared" si="28"/>
        <v>0</v>
      </c>
      <c r="S97" s="216">
        <f t="shared" si="28"/>
        <v>0</v>
      </c>
      <c r="T97" s="216">
        <f t="shared" si="28"/>
        <v>0</v>
      </c>
      <c r="U97" s="216">
        <f t="shared" si="28"/>
        <v>0</v>
      </c>
      <c r="V97" s="216">
        <f t="shared" si="28"/>
        <v>0</v>
      </c>
      <c r="W97" s="216">
        <f t="shared" si="28"/>
        <v>0</v>
      </c>
      <c r="X97" s="216">
        <f t="shared" si="28"/>
        <v>0</v>
      </c>
      <c r="Y97" s="216">
        <f t="shared" si="28"/>
        <v>0</v>
      </c>
      <c r="Z97" s="216">
        <f t="shared" si="28"/>
        <v>0</v>
      </c>
      <c r="AA97" s="216">
        <f t="shared" si="28"/>
        <v>0</v>
      </c>
      <c r="AB97" s="216">
        <f t="shared" si="28"/>
        <v>0</v>
      </c>
      <c r="AC97" s="216">
        <f t="shared" si="28"/>
        <v>0</v>
      </c>
      <c r="AD97" s="216">
        <f t="shared" si="28"/>
        <v>0</v>
      </c>
      <c r="AE97" s="216">
        <f t="shared" si="28"/>
        <v>0</v>
      </c>
      <c r="AF97" s="216">
        <f t="shared" si="28"/>
        <v>0</v>
      </c>
      <c r="AG97" s="216">
        <f t="shared" si="28"/>
        <v>0</v>
      </c>
      <c r="AH97" s="216">
        <f t="shared" si="28"/>
        <v>0</v>
      </c>
      <c r="AI97" s="216">
        <f t="shared" si="28"/>
        <v>0</v>
      </c>
      <c r="AJ97" s="216">
        <f t="shared" si="28"/>
        <v>0</v>
      </c>
      <c r="AK97" s="216">
        <f t="shared" si="28"/>
        <v>0</v>
      </c>
      <c r="AL97" s="216">
        <f t="shared" si="28"/>
        <v>0</v>
      </c>
      <c r="AM97" s="216">
        <f t="shared" si="28"/>
        <v>0</v>
      </c>
      <c r="AN97" s="216">
        <f t="shared" si="28"/>
        <v>0</v>
      </c>
      <c r="AO97" s="216">
        <f t="shared" si="28"/>
        <v>0</v>
      </c>
      <c r="AP97" s="216">
        <f t="shared" si="28"/>
        <v>0</v>
      </c>
      <c r="AQ97" s="216">
        <f t="shared" si="28"/>
        <v>0</v>
      </c>
      <c r="AR97" s="217"/>
      <c r="AS97" s="217"/>
      <c r="AT97" s="217"/>
      <c r="AU97" s="217"/>
    </row>
    <row r="98" spans="2:43" s="126" customFormat="1" ht="12">
      <c r="B98" s="126" t="s">
        <v>18</v>
      </c>
      <c r="C98" s="3"/>
      <c r="D98" s="216">
        <f aca="true" t="shared" si="29" ref="D98:AQ98">IF(AND(D95&gt;0,$H$19&gt;=D95),-PMT($H$18,$H$19,$H$26),0)</f>
        <v>0</v>
      </c>
      <c r="E98" s="216">
        <f t="shared" si="29"/>
        <v>0</v>
      </c>
      <c r="F98" s="216">
        <f t="shared" si="29"/>
        <v>0</v>
      </c>
      <c r="G98" s="216">
        <f t="shared" si="29"/>
        <v>0</v>
      </c>
      <c r="H98" s="216">
        <f t="shared" si="29"/>
        <v>0</v>
      </c>
      <c r="I98" s="216">
        <f t="shared" si="29"/>
        <v>0</v>
      </c>
      <c r="J98" s="216">
        <f t="shared" si="29"/>
        <v>0</v>
      </c>
      <c r="K98" s="216">
        <f t="shared" si="29"/>
        <v>0</v>
      </c>
      <c r="L98" s="216">
        <f t="shared" si="29"/>
        <v>0</v>
      </c>
      <c r="M98" s="216">
        <f t="shared" si="29"/>
        <v>0</v>
      </c>
      <c r="N98" s="216">
        <f t="shared" si="29"/>
        <v>0</v>
      </c>
      <c r="O98" s="216">
        <f t="shared" si="29"/>
        <v>0</v>
      </c>
      <c r="P98" s="216">
        <f t="shared" si="29"/>
        <v>0</v>
      </c>
      <c r="Q98" s="216">
        <f t="shared" si="29"/>
        <v>0</v>
      </c>
      <c r="R98" s="216">
        <f t="shared" si="29"/>
        <v>0</v>
      </c>
      <c r="S98" s="216">
        <f t="shared" si="29"/>
        <v>0</v>
      </c>
      <c r="T98" s="216">
        <f t="shared" si="29"/>
        <v>0</v>
      </c>
      <c r="U98" s="216">
        <f t="shared" si="29"/>
        <v>0</v>
      </c>
      <c r="V98" s="216">
        <f t="shared" si="29"/>
        <v>0</v>
      </c>
      <c r="W98" s="216">
        <f t="shared" si="29"/>
        <v>0</v>
      </c>
      <c r="X98" s="216">
        <f t="shared" si="29"/>
        <v>0</v>
      </c>
      <c r="Y98" s="216">
        <f t="shared" si="29"/>
        <v>0</v>
      </c>
      <c r="Z98" s="216">
        <f t="shared" si="29"/>
        <v>0</v>
      </c>
      <c r="AA98" s="216">
        <f t="shared" si="29"/>
        <v>0</v>
      </c>
      <c r="AB98" s="216">
        <f t="shared" si="29"/>
        <v>0</v>
      </c>
      <c r="AC98" s="216">
        <f t="shared" si="29"/>
        <v>0</v>
      </c>
      <c r="AD98" s="216">
        <f t="shared" si="29"/>
        <v>0</v>
      </c>
      <c r="AE98" s="216">
        <f t="shared" si="29"/>
        <v>0</v>
      </c>
      <c r="AF98" s="216">
        <f t="shared" si="29"/>
        <v>0</v>
      </c>
      <c r="AG98" s="216">
        <f t="shared" si="29"/>
        <v>0</v>
      </c>
      <c r="AH98" s="216">
        <f t="shared" si="29"/>
        <v>0</v>
      </c>
      <c r="AI98" s="216">
        <f t="shared" si="29"/>
        <v>0</v>
      </c>
      <c r="AJ98" s="216">
        <f t="shared" si="29"/>
        <v>0</v>
      </c>
      <c r="AK98" s="216">
        <f t="shared" si="29"/>
        <v>0</v>
      </c>
      <c r="AL98" s="216">
        <f t="shared" si="29"/>
        <v>0</v>
      </c>
      <c r="AM98" s="216">
        <f t="shared" si="29"/>
        <v>0</v>
      </c>
      <c r="AN98" s="216">
        <f t="shared" si="29"/>
        <v>0</v>
      </c>
      <c r="AO98" s="216">
        <f t="shared" si="29"/>
        <v>0</v>
      </c>
      <c r="AP98" s="216">
        <f t="shared" si="29"/>
        <v>0</v>
      </c>
      <c r="AQ98" s="216">
        <f t="shared" si="29"/>
        <v>0</v>
      </c>
    </row>
    <row r="99" spans="2:47" s="217" customFormat="1" ht="12">
      <c r="B99" s="126" t="s">
        <v>19</v>
      </c>
      <c r="C99" s="3"/>
      <c r="D99" s="216">
        <f aca="true" t="shared" si="30" ref="D99:AQ99">IF(AND(D97&gt;0,$H$19&gt;=D95),D97*$H$18,0)</f>
        <v>0</v>
      </c>
      <c r="E99" s="216">
        <f t="shared" si="30"/>
        <v>0</v>
      </c>
      <c r="F99" s="216">
        <f t="shared" si="30"/>
        <v>0</v>
      </c>
      <c r="G99" s="216">
        <f t="shared" si="30"/>
        <v>0</v>
      </c>
      <c r="H99" s="216">
        <f t="shared" si="30"/>
        <v>0</v>
      </c>
      <c r="I99" s="216">
        <f t="shared" si="30"/>
        <v>0</v>
      </c>
      <c r="J99" s="216">
        <f t="shared" si="30"/>
        <v>0</v>
      </c>
      <c r="K99" s="216">
        <f t="shared" si="30"/>
        <v>0</v>
      </c>
      <c r="L99" s="216">
        <f t="shared" si="30"/>
        <v>0</v>
      </c>
      <c r="M99" s="216">
        <f t="shared" si="30"/>
        <v>0</v>
      </c>
      <c r="N99" s="216">
        <f t="shared" si="30"/>
        <v>0</v>
      </c>
      <c r="O99" s="216">
        <f t="shared" si="30"/>
        <v>0</v>
      </c>
      <c r="P99" s="216">
        <f t="shared" si="30"/>
        <v>0</v>
      </c>
      <c r="Q99" s="216">
        <f t="shared" si="30"/>
        <v>0</v>
      </c>
      <c r="R99" s="216">
        <f t="shared" si="30"/>
        <v>0</v>
      </c>
      <c r="S99" s="216">
        <f t="shared" si="30"/>
        <v>0</v>
      </c>
      <c r="T99" s="216">
        <f t="shared" si="30"/>
        <v>0</v>
      </c>
      <c r="U99" s="216">
        <f t="shared" si="30"/>
        <v>0</v>
      </c>
      <c r="V99" s="216">
        <f t="shared" si="30"/>
        <v>0</v>
      </c>
      <c r="W99" s="216">
        <f t="shared" si="30"/>
        <v>0</v>
      </c>
      <c r="X99" s="216">
        <f t="shared" si="30"/>
        <v>0</v>
      </c>
      <c r="Y99" s="216">
        <f t="shared" si="30"/>
        <v>0</v>
      </c>
      <c r="Z99" s="216">
        <f t="shared" si="30"/>
        <v>0</v>
      </c>
      <c r="AA99" s="216">
        <f t="shared" si="30"/>
        <v>0</v>
      </c>
      <c r="AB99" s="216">
        <f t="shared" si="30"/>
        <v>0</v>
      </c>
      <c r="AC99" s="216">
        <f t="shared" si="30"/>
        <v>0</v>
      </c>
      <c r="AD99" s="216">
        <f t="shared" si="30"/>
        <v>0</v>
      </c>
      <c r="AE99" s="216">
        <f t="shared" si="30"/>
        <v>0</v>
      </c>
      <c r="AF99" s="216">
        <f t="shared" si="30"/>
        <v>0</v>
      </c>
      <c r="AG99" s="216">
        <f t="shared" si="30"/>
        <v>0</v>
      </c>
      <c r="AH99" s="216">
        <f t="shared" si="30"/>
        <v>0</v>
      </c>
      <c r="AI99" s="216">
        <f t="shared" si="30"/>
        <v>0</v>
      </c>
      <c r="AJ99" s="216">
        <f t="shared" si="30"/>
        <v>0</v>
      </c>
      <c r="AK99" s="216">
        <f t="shared" si="30"/>
        <v>0</v>
      </c>
      <c r="AL99" s="216">
        <f t="shared" si="30"/>
        <v>0</v>
      </c>
      <c r="AM99" s="216">
        <f t="shared" si="30"/>
        <v>0</v>
      </c>
      <c r="AN99" s="216">
        <f t="shared" si="30"/>
        <v>0</v>
      </c>
      <c r="AO99" s="216">
        <f t="shared" si="30"/>
        <v>0</v>
      </c>
      <c r="AP99" s="216">
        <f t="shared" si="30"/>
        <v>0</v>
      </c>
      <c r="AQ99" s="216">
        <f t="shared" si="30"/>
        <v>0</v>
      </c>
      <c r="AR99" s="126"/>
      <c r="AS99" s="126"/>
      <c r="AT99" s="126"/>
      <c r="AU99" s="126"/>
    </row>
    <row r="100" spans="3:43" s="126" customFormat="1" ht="12">
      <c r="C100" s="3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</row>
    <row r="101" spans="2:43" s="126" customFormat="1" ht="12">
      <c r="B101" s="126" t="s">
        <v>46</v>
      </c>
      <c r="C101" s="3"/>
      <c r="D101" s="216">
        <f aca="true" t="shared" si="31" ref="D101:AQ101">IF($H$19&gt;=D95,D98-D99,0)</f>
        <v>0</v>
      </c>
      <c r="E101" s="216">
        <f t="shared" si="31"/>
        <v>0</v>
      </c>
      <c r="F101" s="216">
        <f t="shared" si="31"/>
        <v>0</v>
      </c>
      <c r="G101" s="216">
        <f t="shared" si="31"/>
        <v>0</v>
      </c>
      <c r="H101" s="216">
        <f t="shared" si="31"/>
        <v>0</v>
      </c>
      <c r="I101" s="216">
        <f t="shared" si="31"/>
        <v>0</v>
      </c>
      <c r="J101" s="216">
        <f t="shared" si="31"/>
        <v>0</v>
      </c>
      <c r="K101" s="216">
        <f t="shared" si="31"/>
        <v>0</v>
      </c>
      <c r="L101" s="216">
        <f t="shared" si="31"/>
        <v>0</v>
      </c>
      <c r="M101" s="216">
        <f t="shared" si="31"/>
        <v>0</v>
      </c>
      <c r="N101" s="216">
        <f t="shared" si="31"/>
        <v>0</v>
      </c>
      <c r="O101" s="216">
        <f t="shared" si="31"/>
        <v>0</v>
      </c>
      <c r="P101" s="216">
        <f t="shared" si="31"/>
        <v>0</v>
      </c>
      <c r="Q101" s="216">
        <f t="shared" si="31"/>
        <v>0</v>
      </c>
      <c r="R101" s="216">
        <f t="shared" si="31"/>
        <v>0</v>
      </c>
      <c r="S101" s="216">
        <f t="shared" si="31"/>
        <v>0</v>
      </c>
      <c r="T101" s="216">
        <f t="shared" si="31"/>
        <v>0</v>
      </c>
      <c r="U101" s="216">
        <f t="shared" si="31"/>
        <v>0</v>
      </c>
      <c r="V101" s="216">
        <f t="shared" si="31"/>
        <v>0</v>
      </c>
      <c r="W101" s="216">
        <f t="shared" si="31"/>
        <v>0</v>
      </c>
      <c r="X101" s="216">
        <f t="shared" si="31"/>
        <v>0</v>
      </c>
      <c r="Y101" s="216">
        <f t="shared" si="31"/>
        <v>0</v>
      </c>
      <c r="Z101" s="216">
        <f t="shared" si="31"/>
        <v>0</v>
      </c>
      <c r="AA101" s="216">
        <f t="shared" si="31"/>
        <v>0</v>
      </c>
      <c r="AB101" s="216">
        <f t="shared" si="31"/>
        <v>0</v>
      </c>
      <c r="AC101" s="216">
        <f t="shared" si="31"/>
        <v>0</v>
      </c>
      <c r="AD101" s="216">
        <f t="shared" si="31"/>
        <v>0</v>
      </c>
      <c r="AE101" s="216">
        <f t="shared" si="31"/>
        <v>0</v>
      </c>
      <c r="AF101" s="216">
        <f t="shared" si="31"/>
        <v>0</v>
      </c>
      <c r="AG101" s="216">
        <f t="shared" si="31"/>
        <v>0</v>
      </c>
      <c r="AH101" s="216">
        <f t="shared" si="31"/>
        <v>0</v>
      </c>
      <c r="AI101" s="216">
        <f t="shared" si="31"/>
        <v>0</v>
      </c>
      <c r="AJ101" s="216">
        <f t="shared" si="31"/>
        <v>0</v>
      </c>
      <c r="AK101" s="216">
        <f t="shared" si="31"/>
        <v>0</v>
      </c>
      <c r="AL101" s="216">
        <f t="shared" si="31"/>
        <v>0</v>
      </c>
      <c r="AM101" s="216">
        <f t="shared" si="31"/>
        <v>0</v>
      </c>
      <c r="AN101" s="216">
        <f t="shared" si="31"/>
        <v>0</v>
      </c>
      <c r="AO101" s="216">
        <f t="shared" si="31"/>
        <v>0</v>
      </c>
      <c r="AP101" s="216">
        <f t="shared" si="31"/>
        <v>0</v>
      </c>
      <c r="AQ101" s="216">
        <f t="shared" si="31"/>
        <v>0</v>
      </c>
    </row>
    <row r="102" spans="2:43" s="126" customFormat="1" ht="12">
      <c r="B102" s="126" t="s">
        <v>20</v>
      </c>
      <c r="C102" s="127">
        <f aca="true" t="shared" si="32" ref="C102:AP102">IF(D95=1,IF($H$19&gt;=D95,$H$26,0),C97-C101)</f>
        <v>0</v>
      </c>
      <c r="D102" s="127">
        <f t="shared" si="32"/>
        <v>0</v>
      </c>
      <c r="E102" s="127">
        <f t="shared" si="32"/>
        <v>0</v>
      </c>
      <c r="F102" s="127">
        <f t="shared" si="32"/>
        <v>0</v>
      </c>
      <c r="G102" s="127">
        <f t="shared" si="32"/>
        <v>0</v>
      </c>
      <c r="H102" s="127">
        <f t="shared" si="32"/>
        <v>0</v>
      </c>
      <c r="I102" s="127">
        <f t="shared" si="32"/>
        <v>0</v>
      </c>
      <c r="J102" s="127">
        <f t="shared" si="32"/>
        <v>0</v>
      </c>
      <c r="K102" s="127">
        <f t="shared" si="32"/>
        <v>0</v>
      </c>
      <c r="L102" s="127">
        <f t="shared" si="32"/>
        <v>0</v>
      </c>
      <c r="M102" s="127">
        <f t="shared" si="32"/>
        <v>0</v>
      </c>
      <c r="N102" s="127">
        <f t="shared" si="32"/>
        <v>0</v>
      </c>
      <c r="O102" s="127">
        <f t="shared" si="32"/>
        <v>0</v>
      </c>
      <c r="P102" s="127">
        <f t="shared" si="32"/>
        <v>0</v>
      </c>
      <c r="Q102" s="127">
        <f t="shared" si="32"/>
        <v>0</v>
      </c>
      <c r="R102" s="127">
        <f t="shared" si="32"/>
        <v>0</v>
      </c>
      <c r="S102" s="127">
        <f t="shared" si="32"/>
        <v>0</v>
      </c>
      <c r="T102" s="127">
        <f t="shared" si="32"/>
        <v>0</v>
      </c>
      <c r="U102" s="127">
        <f t="shared" si="32"/>
        <v>0</v>
      </c>
      <c r="V102" s="127">
        <f t="shared" si="32"/>
        <v>0</v>
      </c>
      <c r="W102" s="127">
        <f t="shared" si="32"/>
        <v>0</v>
      </c>
      <c r="X102" s="127">
        <f t="shared" si="32"/>
        <v>0</v>
      </c>
      <c r="Y102" s="127">
        <f t="shared" si="32"/>
        <v>0</v>
      </c>
      <c r="Z102" s="127">
        <f t="shared" si="32"/>
        <v>0</v>
      </c>
      <c r="AA102" s="127">
        <f t="shared" si="32"/>
        <v>0</v>
      </c>
      <c r="AB102" s="127">
        <f t="shared" si="32"/>
        <v>0</v>
      </c>
      <c r="AC102" s="127">
        <f t="shared" si="32"/>
        <v>0</v>
      </c>
      <c r="AD102" s="127">
        <f t="shared" si="32"/>
        <v>0</v>
      </c>
      <c r="AE102" s="127">
        <f t="shared" si="32"/>
        <v>0</v>
      </c>
      <c r="AF102" s="127">
        <f t="shared" si="32"/>
        <v>0</v>
      </c>
      <c r="AG102" s="127">
        <f t="shared" si="32"/>
        <v>0</v>
      </c>
      <c r="AH102" s="127">
        <f t="shared" si="32"/>
        <v>0</v>
      </c>
      <c r="AI102" s="127">
        <f t="shared" si="32"/>
        <v>0</v>
      </c>
      <c r="AJ102" s="127">
        <f t="shared" si="32"/>
        <v>0</v>
      </c>
      <c r="AK102" s="127">
        <f t="shared" si="32"/>
        <v>0</v>
      </c>
      <c r="AL102" s="127">
        <f t="shared" si="32"/>
        <v>0</v>
      </c>
      <c r="AM102" s="127">
        <f t="shared" si="32"/>
        <v>0</v>
      </c>
      <c r="AN102" s="127">
        <f t="shared" si="32"/>
        <v>0</v>
      </c>
      <c r="AO102" s="127">
        <f t="shared" si="32"/>
        <v>0</v>
      </c>
      <c r="AP102" s="127">
        <f t="shared" si="32"/>
        <v>0</v>
      </c>
      <c r="AQ102" s="127" t="e">
        <f>IF(#REF!=1,IF($H$19&gt;=#REF!,$H$26,0),AQ97-AQ101)</f>
        <v>#REF!</v>
      </c>
    </row>
    <row r="103" spans="3:43" s="126" customFormat="1" ht="12"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</row>
    <row r="104" spans="2:43" s="126" customFormat="1" ht="12">
      <c r="B104" s="1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2:43" s="126" customFormat="1" ht="12">
      <c r="B105" s="211" t="s">
        <v>123</v>
      </c>
      <c r="C105" s="212">
        <f>C81</f>
        <v>0</v>
      </c>
      <c r="D105" s="212">
        <v>1</v>
      </c>
      <c r="E105" s="212">
        <v>2</v>
      </c>
      <c r="F105" s="212">
        <v>3</v>
      </c>
      <c r="G105" s="212">
        <v>4</v>
      </c>
      <c r="H105" s="212">
        <v>5</v>
      </c>
      <c r="I105" s="212">
        <v>6</v>
      </c>
      <c r="J105" s="212">
        <v>7</v>
      </c>
      <c r="K105" s="212">
        <v>8</v>
      </c>
      <c r="L105" s="212">
        <v>9</v>
      </c>
      <c r="M105" s="212">
        <v>10</v>
      </c>
      <c r="N105" s="212">
        <v>11</v>
      </c>
      <c r="O105" s="212">
        <v>12</v>
      </c>
      <c r="P105" s="212">
        <v>13</v>
      </c>
      <c r="Q105" s="212">
        <v>14</v>
      </c>
      <c r="R105" s="212">
        <v>15</v>
      </c>
      <c r="S105" s="212">
        <v>16</v>
      </c>
      <c r="T105" s="212">
        <v>17</v>
      </c>
      <c r="U105" s="212">
        <v>18</v>
      </c>
      <c r="V105" s="212">
        <v>19</v>
      </c>
      <c r="W105" s="212">
        <v>20</v>
      </c>
      <c r="X105" s="212">
        <v>21</v>
      </c>
      <c r="Y105" s="212">
        <v>22</v>
      </c>
      <c r="Z105" s="212">
        <v>23</v>
      </c>
      <c r="AA105" s="212">
        <v>24</v>
      </c>
      <c r="AB105" s="212">
        <v>25</v>
      </c>
      <c r="AC105" s="212">
        <v>26</v>
      </c>
      <c r="AD105" s="212">
        <v>27</v>
      </c>
      <c r="AE105" s="212">
        <v>28</v>
      </c>
      <c r="AF105" s="212">
        <v>29</v>
      </c>
      <c r="AG105" s="212">
        <v>30</v>
      </c>
      <c r="AH105" s="212">
        <v>31</v>
      </c>
      <c r="AI105" s="212">
        <v>32</v>
      </c>
      <c r="AJ105" s="212">
        <v>33</v>
      </c>
      <c r="AK105" s="212">
        <v>34</v>
      </c>
      <c r="AL105" s="212">
        <v>35</v>
      </c>
      <c r="AM105" s="212">
        <v>36</v>
      </c>
      <c r="AN105" s="212">
        <v>37</v>
      </c>
      <c r="AO105" s="212">
        <v>38</v>
      </c>
      <c r="AP105" s="212">
        <v>39</v>
      </c>
      <c r="AQ105" s="212">
        <v>40</v>
      </c>
    </row>
    <row r="106" spans="2:43" s="126" customFormat="1" ht="12">
      <c r="B106" s="126" t="s">
        <v>17</v>
      </c>
      <c r="C106" s="216"/>
      <c r="D106" s="216">
        <f aca="true" t="shared" si="33" ref="D106:AQ106">+C110</f>
        <v>0</v>
      </c>
      <c r="E106" s="216">
        <f t="shared" si="33"/>
        <v>14523.814655172411</v>
      </c>
      <c r="F106" s="216">
        <f t="shared" si="33"/>
        <v>29047.629310344822</v>
      </c>
      <c r="G106" s="216">
        <f t="shared" si="33"/>
        <v>43571.44396551723</v>
      </c>
      <c r="H106" s="216">
        <f t="shared" si="33"/>
        <v>58095.258620689645</v>
      </c>
      <c r="I106" s="216">
        <f t="shared" si="33"/>
        <v>72619.07327586206</v>
      </c>
      <c r="J106" s="216">
        <f t="shared" si="33"/>
        <v>87142.88793103446</v>
      </c>
      <c r="K106" s="216">
        <f t="shared" si="33"/>
        <v>101666.70258620687</v>
      </c>
      <c r="L106" s="216">
        <f t="shared" si="33"/>
        <v>116190.51724137928</v>
      </c>
      <c r="M106" s="216">
        <f t="shared" si="33"/>
        <v>130714.33189655168</v>
      </c>
      <c r="N106" s="216">
        <f t="shared" si="33"/>
        <v>-2.9103830456733704E-11</v>
      </c>
      <c r="O106" s="216">
        <f t="shared" si="33"/>
        <v>14523.814655172382</v>
      </c>
      <c r="P106" s="216">
        <f t="shared" si="33"/>
        <v>29047.629310344793</v>
      </c>
      <c r="Q106" s="216">
        <f t="shared" si="33"/>
        <v>43571.4439655172</v>
      </c>
      <c r="R106" s="216">
        <f t="shared" si="33"/>
        <v>58095.258620689616</v>
      </c>
      <c r="S106" s="216">
        <f t="shared" si="33"/>
        <v>72619.07327586203</v>
      </c>
      <c r="T106" s="216">
        <f t="shared" si="33"/>
        <v>87142.88793103443</v>
      </c>
      <c r="U106" s="216">
        <f t="shared" si="33"/>
        <v>101666.70258620684</v>
      </c>
      <c r="V106" s="216">
        <f t="shared" si="33"/>
        <v>116190.51724137925</v>
      </c>
      <c r="W106" s="216">
        <f t="shared" si="33"/>
        <v>130714.33189655165</v>
      </c>
      <c r="X106" s="216">
        <f t="shared" si="33"/>
        <v>0</v>
      </c>
      <c r="Y106" s="216">
        <f t="shared" si="33"/>
        <v>0</v>
      </c>
      <c r="Z106" s="216">
        <f t="shared" si="33"/>
        <v>0</v>
      </c>
      <c r="AA106" s="216">
        <f t="shared" si="33"/>
        <v>0</v>
      </c>
      <c r="AB106" s="216">
        <f t="shared" si="33"/>
        <v>0</v>
      </c>
      <c r="AC106" s="216">
        <f t="shared" si="33"/>
        <v>0</v>
      </c>
      <c r="AD106" s="216">
        <f t="shared" si="33"/>
        <v>0</v>
      </c>
      <c r="AE106" s="216">
        <f t="shared" si="33"/>
        <v>0</v>
      </c>
      <c r="AF106" s="216">
        <f t="shared" si="33"/>
        <v>0</v>
      </c>
      <c r="AG106" s="216">
        <f t="shared" si="33"/>
        <v>0</v>
      </c>
      <c r="AH106" s="216">
        <f t="shared" si="33"/>
        <v>0</v>
      </c>
      <c r="AI106" s="216">
        <f t="shared" si="33"/>
        <v>0</v>
      </c>
      <c r="AJ106" s="216">
        <f t="shared" si="33"/>
        <v>0</v>
      </c>
      <c r="AK106" s="216">
        <f t="shared" si="33"/>
        <v>0</v>
      </c>
      <c r="AL106" s="216">
        <f t="shared" si="33"/>
        <v>0</v>
      </c>
      <c r="AM106" s="216">
        <f t="shared" si="33"/>
        <v>0</v>
      </c>
      <c r="AN106" s="216">
        <f t="shared" si="33"/>
        <v>0</v>
      </c>
      <c r="AO106" s="216">
        <f t="shared" si="33"/>
        <v>0</v>
      </c>
      <c r="AP106" s="216">
        <f t="shared" si="33"/>
        <v>0</v>
      </c>
      <c r="AQ106" s="216">
        <f t="shared" si="33"/>
        <v>0</v>
      </c>
    </row>
    <row r="107" spans="2:43" s="126" customFormat="1" ht="12">
      <c r="B107" s="126" t="s">
        <v>62</v>
      </c>
      <c r="C107" s="216">
        <v>0</v>
      </c>
      <c r="D107" s="216">
        <f aca="true" t="shared" si="34" ref="D107:AQ107">$C$24*IF(D31&lt;=$C$17,1,0)</f>
        <v>14523.814655172411</v>
      </c>
      <c r="E107" s="216">
        <f t="shared" si="34"/>
        <v>14523.814655172411</v>
      </c>
      <c r="F107" s="216">
        <f t="shared" si="34"/>
        <v>14523.814655172411</v>
      </c>
      <c r="G107" s="216">
        <f t="shared" si="34"/>
        <v>14523.814655172411</v>
      </c>
      <c r="H107" s="216">
        <f t="shared" si="34"/>
        <v>14523.814655172411</v>
      </c>
      <c r="I107" s="216">
        <f t="shared" si="34"/>
        <v>14523.814655172411</v>
      </c>
      <c r="J107" s="216">
        <f t="shared" si="34"/>
        <v>14523.814655172411</v>
      </c>
      <c r="K107" s="216">
        <f t="shared" si="34"/>
        <v>14523.814655172411</v>
      </c>
      <c r="L107" s="216">
        <f t="shared" si="34"/>
        <v>14523.814655172411</v>
      </c>
      <c r="M107" s="216">
        <f t="shared" si="34"/>
        <v>14523.814655172411</v>
      </c>
      <c r="N107" s="216">
        <f t="shared" si="34"/>
        <v>14523.814655172411</v>
      </c>
      <c r="O107" s="216">
        <f t="shared" si="34"/>
        <v>14523.814655172411</v>
      </c>
      <c r="P107" s="216">
        <f t="shared" si="34"/>
        <v>14523.814655172411</v>
      </c>
      <c r="Q107" s="216">
        <f t="shared" si="34"/>
        <v>14523.814655172411</v>
      </c>
      <c r="R107" s="216">
        <f t="shared" si="34"/>
        <v>14523.814655172411</v>
      </c>
      <c r="S107" s="216">
        <f t="shared" si="34"/>
        <v>14523.814655172411</v>
      </c>
      <c r="T107" s="216">
        <f t="shared" si="34"/>
        <v>14523.814655172411</v>
      </c>
      <c r="U107" s="216">
        <f t="shared" si="34"/>
        <v>14523.814655172411</v>
      </c>
      <c r="V107" s="216">
        <f t="shared" si="34"/>
        <v>14523.814655172411</v>
      </c>
      <c r="W107" s="216">
        <f t="shared" si="34"/>
        <v>14523.814655172411</v>
      </c>
      <c r="X107" s="216">
        <f t="shared" si="34"/>
        <v>0</v>
      </c>
      <c r="Y107" s="216">
        <f t="shared" si="34"/>
        <v>0</v>
      </c>
      <c r="Z107" s="216">
        <f t="shared" si="34"/>
        <v>0</v>
      </c>
      <c r="AA107" s="216">
        <f t="shared" si="34"/>
        <v>0</v>
      </c>
      <c r="AB107" s="216">
        <f t="shared" si="34"/>
        <v>0</v>
      </c>
      <c r="AC107" s="216">
        <f t="shared" si="34"/>
        <v>0</v>
      </c>
      <c r="AD107" s="216">
        <f t="shared" si="34"/>
        <v>0</v>
      </c>
      <c r="AE107" s="216">
        <f t="shared" si="34"/>
        <v>0</v>
      </c>
      <c r="AF107" s="216">
        <f t="shared" si="34"/>
        <v>0</v>
      </c>
      <c r="AG107" s="216">
        <f t="shared" si="34"/>
        <v>0</v>
      </c>
      <c r="AH107" s="216">
        <f t="shared" si="34"/>
        <v>0</v>
      </c>
      <c r="AI107" s="216">
        <f t="shared" si="34"/>
        <v>0</v>
      </c>
      <c r="AJ107" s="216">
        <f t="shared" si="34"/>
        <v>0</v>
      </c>
      <c r="AK107" s="216">
        <f t="shared" si="34"/>
        <v>0</v>
      </c>
      <c r="AL107" s="216">
        <f t="shared" si="34"/>
        <v>0</v>
      </c>
      <c r="AM107" s="216">
        <f t="shared" si="34"/>
        <v>0</v>
      </c>
      <c r="AN107" s="216">
        <f t="shared" si="34"/>
        <v>0</v>
      </c>
      <c r="AO107" s="216">
        <f t="shared" si="34"/>
        <v>0</v>
      </c>
      <c r="AP107" s="216">
        <f t="shared" si="34"/>
        <v>0</v>
      </c>
      <c r="AQ107" s="216">
        <f t="shared" si="34"/>
        <v>0</v>
      </c>
    </row>
    <row r="108" spans="2:43" s="126" customFormat="1" ht="12">
      <c r="B108" s="126" t="s">
        <v>63</v>
      </c>
      <c r="C108" s="216">
        <f>+-(MAX(0,C33))</f>
        <v>0</v>
      </c>
      <c r="D108" s="207">
        <f aca="true" t="shared" si="35" ref="D108:AQ108">-IF(OR(D$105=$C$25,D$105=2*$C$25,D$105=3*$C$25),1,0)*$C$23*IF(D105&lt;=$C$17,1,0)</f>
        <v>0</v>
      </c>
      <c r="E108" s="207">
        <f t="shared" si="35"/>
        <v>0</v>
      </c>
      <c r="F108" s="207">
        <f t="shared" si="35"/>
        <v>0</v>
      </c>
      <c r="G108" s="207">
        <f t="shared" si="35"/>
        <v>0</v>
      </c>
      <c r="H108" s="207">
        <f t="shared" si="35"/>
        <v>0</v>
      </c>
      <c r="I108" s="207">
        <f t="shared" si="35"/>
        <v>0</v>
      </c>
      <c r="J108" s="207">
        <f t="shared" si="35"/>
        <v>0</v>
      </c>
      <c r="K108" s="207">
        <f t="shared" si="35"/>
        <v>0</v>
      </c>
      <c r="L108" s="207">
        <f t="shared" si="35"/>
        <v>0</v>
      </c>
      <c r="M108" s="207">
        <f t="shared" si="35"/>
        <v>-145238.14655172412</v>
      </c>
      <c r="N108" s="207">
        <f t="shared" si="35"/>
        <v>0</v>
      </c>
      <c r="O108" s="207">
        <f t="shared" si="35"/>
        <v>0</v>
      </c>
      <c r="P108" s="207">
        <f t="shared" si="35"/>
        <v>0</v>
      </c>
      <c r="Q108" s="207">
        <f t="shared" si="35"/>
        <v>0</v>
      </c>
      <c r="R108" s="207">
        <f t="shared" si="35"/>
        <v>0</v>
      </c>
      <c r="S108" s="207">
        <f t="shared" si="35"/>
        <v>0</v>
      </c>
      <c r="T108" s="207">
        <f t="shared" si="35"/>
        <v>0</v>
      </c>
      <c r="U108" s="207">
        <f t="shared" si="35"/>
        <v>0</v>
      </c>
      <c r="V108" s="207">
        <f t="shared" si="35"/>
        <v>0</v>
      </c>
      <c r="W108" s="207">
        <f t="shared" si="35"/>
        <v>-145238.14655172412</v>
      </c>
      <c r="X108" s="207">
        <f t="shared" si="35"/>
        <v>0</v>
      </c>
      <c r="Y108" s="207">
        <f t="shared" si="35"/>
        <v>0</v>
      </c>
      <c r="Z108" s="207">
        <f t="shared" si="35"/>
        <v>0</v>
      </c>
      <c r="AA108" s="207">
        <f t="shared" si="35"/>
        <v>0</v>
      </c>
      <c r="AB108" s="207">
        <f t="shared" si="35"/>
        <v>0</v>
      </c>
      <c r="AC108" s="207">
        <f t="shared" si="35"/>
        <v>0</v>
      </c>
      <c r="AD108" s="207">
        <f t="shared" si="35"/>
        <v>0</v>
      </c>
      <c r="AE108" s="207">
        <f t="shared" si="35"/>
        <v>0</v>
      </c>
      <c r="AF108" s="207">
        <f t="shared" si="35"/>
        <v>0</v>
      </c>
      <c r="AG108" s="207">
        <f t="shared" si="35"/>
        <v>0</v>
      </c>
      <c r="AH108" s="207">
        <f t="shared" si="35"/>
        <v>0</v>
      </c>
      <c r="AI108" s="207">
        <f t="shared" si="35"/>
        <v>0</v>
      </c>
      <c r="AJ108" s="207">
        <f t="shared" si="35"/>
        <v>0</v>
      </c>
      <c r="AK108" s="207">
        <f t="shared" si="35"/>
        <v>0</v>
      </c>
      <c r="AL108" s="207">
        <f t="shared" si="35"/>
        <v>0</v>
      </c>
      <c r="AM108" s="207">
        <f t="shared" si="35"/>
        <v>0</v>
      </c>
      <c r="AN108" s="207">
        <f t="shared" si="35"/>
        <v>0</v>
      </c>
      <c r="AO108" s="207">
        <f t="shared" si="35"/>
        <v>0</v>
      </c>
      <c r="AP108" s="207">
        <f t="shared" si="35"/>
        <v>0</v>
      </c>
      <c r="AQ108" s="207">
        <f t="shared" si="35"/>
        <v>0</v>
      </c>
    </row>
    <row r="109" spans="2:43" s="126" customFormat="1" ht="12">
      <c r="B109" s="126" t="s">
        <v>124</v>
      </c>
      <c r="C109" s="216"/>
      <c r="D109" s="207">
        <f>-IF(D105=$C$17,D106+D107+D108,0)</f>
        <v>0</v>
      </c>
      <c r="E109" s="207">
        <f aca="true" t="shared" si="36" ref="E109:AQ109">-IF(E105=$C$17,E106+E107+E108,0)</f>
        <v>0</v>
      </c>
      <c r="F109" s="207">
        <f t="shared" si="36"/>
        <v>0</v>
      </c>
      <c r="G109" s="207">
        <f t="shared" si="36"/>
        <v>0</v>
      </c>
      <c r="H109" s="207">
        <f t="shared" si="36"/>
        <v>0</v>
      </c>
      <c r="I109" s="207">
        <f t="shared" si="36"/>
        <v>0</v>
      </c>
      <c r="J109" s="207">
        <f t="shared" si="36"/>
        <v>0</v>
      </c>
      <c r="K109" s="207">
        <f t="shared" si="36"/>
        <v>0</v>
      </c>
      <c r="L109" s="207">
        <f t="shared" si="36"/>
        <v>0</v>
      </c>
      <c r="M109" s="207">
        <f t="shared" si="36"/>
        <v>0</v>
      </c>
      <c r="N109" s="207">
        <f t="shared" si="36"/>
        <v>0</v>
      </c>
      <c r="O109" s="207">
        <f t="shared" si="36"/>
        <v>0</v>
      </c>
      <c r="P109" s="207">
        <f t="shared" si="36"/>
        <v>0</v>
      </c>
      <c r="Q109" s="207">
        <f t="shared" si="36"/>
        <v>0</v>
      </c>
      <c r="R109" s="207">
        <f t="shared" si="36"/>
        <v>0</v>
      </c>
      <c r="S109" s="207">
        <f t="shared" si="36"/>
        <v>0</v>
      </c>
      <c r="T109" s="207">
        <f t="shared" si="36"/>
        <v>0</v>
      </c>
      <c r="U109" s="207">
        <f t="shared" si="36"/>
        <v>0</v>
      </c>
      <c r="V109" s="207">
        <f t="shared" si="36"/>
        <v>0</v>
      </c>
      <c r="W109" s="207">
        <f t="shared" si="36"/>
        <v>5.820766091346741E-11</v>
      </c>
      <c r="X109" s="207">
        <f t="shared" si="36"/>
        <v>0</v>
      </c>
      <c r="Y109" s="207">
        <f t="shared" si="36"/>
        <v>0</v>
      </c>
      <c r="Z109" s="207">
        <f t="shared" si="36"/>
        <v>0</v>
      </c>
      <c r="AA109" s="207">
        <f t="shared" si="36"/>
        <v>0</v>
      </c>
      <c r="AB109" s="207">
        <f t="shared" si="36"/>
        <v>0</v>
      </c>
      <c r="AC109" s="207">
        <f t="shared" si="36"/>
        <v>0</v>
      </c>
      <c r="AD109" s="207">
        <f t="shared" si="36"/>
        <v>0</v>
      </c>
      <c r="AE109" s="207">
        <f t="shared" si="36"/>
        <v>0</v>
      </c>
      <c r="AF109" s="207">
        <f t="shared" si="36"/>
        <v>0</v>
      </c>
      <c r="AG109" s="207">
        <f t="shared" si="36"/>
        <v>0</v>
      </c>
      <c r="AH109" s="207">
        <f t="shared" si="36"/>
        <v>0</v>
      </c>
      <c r="AI109" s="207">
        <f t="shared" si="36"/>
        <v>0</v>
      </c>
      <c r="AJ109" s="207">
        <f t="shared" si="36"/>
        <v>0</v>
      </c>
      <c r="AK109" s="207">
        <f t="shared" si="36"/>
        <v>0</v>
      </c>
      <c r="AL109" s="207">
        <f t="shared" si="36"/>
        <v>0</v>
      </c>
      <c r="AM109" s="207">
        <f t="shared" si="36"/>
        <v>0</v>
      </c>
      <c r="AN109" s="207">
        <f t="shared" si="36"/>
        <v>0</v>
      </c>
      <c r="AO109" s="207">
        <f t="shared" si="36"/>
        <v>0</v>
      </c>
      <c r="AP109" s="207">
        <f t="shared" si="36"/>
        <v>0</v>
      </c>
      <c r="AQ109" s="207">
        <f t="shared" si="36"/>
        <v>0</v>
      </c>
    </row>
    <row r="110" spans="2:43" s="126" customFormat="1" ht="12">
      <c r="B110" s="126" t="s">
        <v>20</v>
      </c>
      <c r="C110" s="216">
        <f>SUM(C106:C108)</f>
        <v>0</v>
      </c>
      <c r="D110" s="216">
        <f>SUM(D106:D109)</f>
        <v>14523.814655172411</v>
      </c>
      <c r="E110" s="216">
        <f aca="true" t="shared" si="37" ref="E110:AQ110">SUM(E106:E109)</f>
        <v>29047.629310344822</v>
      </c>
      <c r="F110" s="216">
        <f t="shared" si="37"/>
        <v>43571.44396551723</v>
      </c>
      <c r="G110" s="216">
        <f t="shared" si="37"/>
        <v>58095.258620689645</v>
      </c>
      <c r="H110" s="216">
        <f t="shared" si="37"/>
        <v>72619.07327586206</v>
      </c>
      <c r="I110" s="216">
        <f t="shared" si="37"/>
        <v>87142.88793103446</v>
      </c>
      <c r="J110" s="216">
        <f t="shared" si="37"/>
        <v>101666.70258620687</v>
      </c>
      <c r="K110" s="216">
        <f t="shared" si="37"/>
        <v>116190.51724137928</v>
      </c>
      <c r="L110" s="216">
        <f t="shared" si="37"/>
        <v>130714.33189655168</v>
      </c>
      <c r="M110" s="216">
        <f t="shared" si="37"/>
        <v>-2.9103830456733704E-11</v>
      </c>
      <c r="N110" s="216">
        <f t="shared" si="37"/>
        <v>14523.814655172382</v>
      </c>
      <c r="O110" s="216">
        <f t="shared" si="37"/>
        <v>29047.629310344793</v>
      </c>
      <c r="P110" s="216">
        <f t="shared" si="37"/>
        <v>43571.4439655172</v>
      </c>
      <c r="Q110" s="216">
        <f t="shared" si="37"/>
        <v>58095.258620689616</v>
      </c>
      <c r="R110" s="216">
        <f t="shared" si="37"/>
        <v>72619.07327586203</v>
      </c>
      <c r="S110" s="216">
        <f t="shared" si="37"/>
        <v>87142.88793103443</v>
      </c>
      <c r="T110" s="216">
        <f t="shared" si="37"/>
        <v>101666.70258620684</v>
      </c>
      <c r="U110" s="216">
        <f t="shared" si="37"/>
        <v>116190.51724137925</v>
      </c>
      <c r="V110" s="216">
        <f t="shared" si="37"/>
        <v>130714.33189655165</v>
      </c>
      <c r="W110" s="216">
        <f t="shared" si="37"/>
        <v>0</v>
      </c>
      <c r="X110" s="216">
        <f t="shared" si="37"/>
        <v>0</v>
      </c>
      <c r="Y110" s="216">
        <f t="shared" si="37"/>
        <v>0</v>
      </c>
      <c r="Z110" s="216">
        <f t="shared" si="37"/>
        <v>0</v>
      </c>
      <c r="AA110" s="216">
        <f t="shared" si="37"/>
        <v>0</v>
      </c>
      <c r="AB110" s="216">
        <f t="shared" si="37"/>
        <v>0</v>
      </c>
      <c r="AC110" s="216">
        <f t="shared" si="37"/>
        <v>0</v>
      </c>
      <c r="AD110" s="216">
        <f t="shared" si="37"/>
        <v>0</v>
      </c>
      <c r="AE110" s="216">
        <f t="shared" si="37"/>
        <v>0</v>
      </c>
      <c r="AF110" s="216">
        <f t="shared" si="37"/>
        <v>0</v>
      </c>
      <c r="AG110" s="216">
        <f t="shared" si="37"/>
        <v>0</v>
      </c>
      <c r="AH110" s="216">
        <f t="shared" si="37"/>
        <v>0</v>
      </c>
      <c r="AI110" s="216">
        <f t="shared" si="37"/>
        <v>0</v>
      </c>
      <c r="AJ110" s="216">
        <f t="shared" si="37"/>
        <v>0</v>
      </c>
      <c r="AK110" s="216">
        <f t="shared" si="37"/>
        <v>0</v>
      </c>
      <c r="AL110" s="216">
        <f t="shared" si="37"/>
        <v>0</v>
      </c>
      <c r="AM110" s="216">
        <f t="shared" si="37"/>
        <v>0</v>
      </c>
      <c r="AN110" s="216">
        <f t="shared" si="37"/>
        <v>0</v>
      </c>
      <c r="AO110" s="216">
        <f t="shared" si="37"/>
        <v>0</v>
      </c>
      <c r="AP110" s="216">
        <f t="shared" si="37"/>
        <v>0</v>
      </c>
      <c r="AQ110" s="216">
        <f t="shared" si="37"/>
        <v>0</v>
      </c>
    </row>
    <row r="111" spans="2:43" s="126" customFormat="1" ht="12">
      <c r="B111" s="126" t="s">
        <v>64</v>
      </c>
      <c r="C111" s="32">
        <f>+H22</f>
        <v>0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2:47" s="126" customFormat="1" ht="12">
      <c r="B112" s="126" t="s">
        <v>125</v>
      </c>
      <c r="C112" s="216">
        <f>+C106*$C$143</f>
        <v>0</v>
      </c>
      <c r="D112" s="216">
        <f>-D107-D109+$C$111*D106</f>
        <v>-14523.814655172411</v>
      </c>
      <c r="E112" s="216">
        <f>-E107-E109+$C$111*E106</f>
        <v>-14523.814655172411</v>
      </c>
      <c r="F112" s="216">
        <f aca="true" t="shared" si="38" ref="F112:AQ112">-F107-F109+$C$111*F106</f>
        <v>-14523.814655172411</v>
      </c>
      <c r="G112" s="216">
        <f t="shared" si="38"/>
        <v>-14523.814655172411</v>
      </c>
      <c r="H112" s="216">
        <f t="shared" si="38"/>
        <v>-14523.814655172411</v>
      </c>
      <c r="I112" s="216">
        <f t="shared" si="38"/>
        <v>-14523.814655172411</v>
      </c>
      <c r="J112" s="216">
        <f t="shared" si="38"/>
        <v>-14523.814655172411</v>
      </c>
      <c r="K112" s="216">
        <f t="shared" si="38"/>
        <v>-14523.814655172411</v>
      </c>
      <c r="L112" s="216">
        <f t="shared" si="38"/>
        <v>-14523.814655172411</v>
      </c>
      <c r="M112" s="216">
        <f t="shared" si="38"/>
        <v>-14523.814655172411</v>
      </c>
      <c r="N112" s="216">
        <f t="shared" si="38"/>
        <v>-14523.814655172411</v>
      </c>
      <c r="O112" s="216">
        <f t="shared" si="38"/>
        <v>-14523.814655172411</v>
      </c>
      <c r="P112" s="216">
        <f t="shared" si="38"/>
        <v>-14523.814655172411</v>
      </c>
      <c r="Q112" s="216">
        <f t="shared" si="38"/>
        <v>-14523.814655172411</v>
      </c>
      <c r="R112" s="216">
        <f t="shared" si="38"/>
        <v>-14523.814655172411</v>
      </c>
      <c r="S112" s="216">
        <f t="shared" si="38"/>
        <v>-14523.814655172411</v>
      </c>
      <c r="T112" s="216">
        <f t="shared" si="38"/>
        <v>-14523.814655172411</v>
      </c>
      <c r="U112" s="216">
        <f t="shared" si="38"/>
        <v>-14523.814655172411</v>
      </c>
      <c r="V112" s="216">
        <f t="shared" si="38"/>
        <v>-14523.814655172411</v>
      </c>
      <c r="W112" s="216">
        <f t="shared" si="38"/>
        <v>-14523.81465517247</v>
      </c>
      <c r="X112" s="216">
        <f t="shared" si="38"/>
        <v>0</v>
      </c>
      <c r="Y112" s="216">
        <f t="shared" si="38"/>
        <v>0</v>
      </c>
      <c r="Z112" s="216">
        <f t="shared" si="38"/>
        <v>0</v>
      </c>
      <c r="AA112" s="216">
        <f t="shared" si="38"/>
        <v>0</v>
      </c>
      <c r="AB112" s="216">
        <f t="shared" si="38"/>
        <v>0</v>
      </c>
      <c r="AC112" s="216">
        <f t="shared" si="38"/>
        <v>0</v>
      </c>
      <c r="AD112" s="216">
        <f t="shared" si="38"/>
        <v>0</v>
      </c>
      <c r="AE112" s="216">
        <f t="shared" si="38"/>
        <v>0</v>
      </c>
      <c r="AF112" s="216">
        <f t="shared" si="38"/>
        <v>0</v>
      </c>
      <c r="AG112" s="216">
        <f t="shared" si="38"/>
        <v>0</v>
      </c>
      <c r="AH112" s="216">
        <f t="shared" si="38"/>
        <v>0</v>
      </c>
      <c r="AI112" s="216">
        <f t="shared" si="38"/>
        <v>0</v>
      </c>
      <c r="AJ112" s="216">
        <f t="shared" si="38"/>
        <v>0</v>
      </c>
      <c r="AK112" s="216">
        <f t="shared" si="38"/>
        <v>0</v>
      </c>
      <c r="AL112" s="216">
        <f t="shared" si="38"/>
        <v>0</v>
      </c>
      <c r="AM112" s="216">
        <f t="shared" si="38"/>
        <v>0</v>
      </c>
      <c r="AN112" s="216">
        <f t="shared" si="38"/>
        <v>0</v>
      </c>
      <c r="AO112" s="216">
        <f t="shared" si="38"/>
        <v>0</v>
      </c>
      <c r="AP112" s="216">
        <f t="shared" si="38"/>
        <v>0</v>
      </c>
      <c r="AQ112" s="216">
        <f t="shared" si="38"/>
        <v>0</v>
      </c>
      <c r="AS112" s="201"/>
      <c r="AT112" s="201"/>
      <c r="AU112" s="201"/>
    </row>
    <row r="113" spans="3:47" s="126" customFormat="1" ht="12"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S113" s="201"/>
      <c r="AT113" s="201"/>
      <c r="AU113" s="201"/>
    </row>
    <row r="114" spans="2:43" s="126" customFormat="1" ht="12">
      <c r="B114" s="196" t="s">
        <v>45</v>
      </c>
      <c r="C114" s="218">
        <f aca="true" t="shared" si="39" ref="C114:AQ114">C95</f>
        <v>0</v>
      </c>
      <c r="D114" s="218">
        <f t="shared" si="39"/>
        <v>1</v>
      </c>
      <c r="E114" s="218">
        <f t="shared" si="39"/>
        <v>2</v>
      </c>
      <c r="F114" s="218">
        <f t="shared" si="39"/>
        <v>3</v>
      </c>
      <c r="G114" s="218">
        <f t="shared" si="39"/>
        <v>4</v>
      </c>
      <c r="H114" s="218">
        <f t="shared" si="39"/>
        <v>5</v>
      </c>
      <c r="I114" s="218">
        <f t="shared" si="39"/>
        <v>6</v>
      </c>
      <c r="J114" s="218">
        <f t="shared" si="39"/>
        <v>7</v>
      </c>
      <c r="K114" s="218">
        <f t="shared" si="39"/>
        <v>8</v>
      </c>
      <c r="L114" s="218">
        <f t="shared" si="39"/>
        <v>9</v>
      </c>
      <c r="M114" s="218">
        <f t="shared" si="39"/>
        <v>10</v>
      </c>
      <c r="N114" s="218">
        <f t="shared" si="39"/>
        <v>11</v>
      </c>
      <c r="O114" s="218">
        <f t="shared" si="39"/>
        <v>12</v>
      </c>
      <c r="P114" s="218">
        <f t="shared" si="39"/>
        <v>13</v>
      </c>
      <c r="Q114" s="218">
        <f t="shared" si="39"/>
        <v>14</v>
      </c>
      <c r="R114" s="218">
        <f t="shared" si="39"/>
        <v>15</v>
      </c>
      <c r="S114" s="218">
        <f t="shared" si="39"/>
        <v>16</v>
      </c>
      <c r="T114" s="218">
        <f t="shared" si="39"/>
        <v>17</v>
      </c>
      <c r="U114" s="218">
        <f t="shared" si="39"/>
        <v>18</v>
      </c>
      <c r="V114" s="218">
        <f t="shared" si="39"/>
        <v>19</v>
      </c>
      <c r="W114" s="218">
        <f t="shared" si="39"/>
        <v>20</v>
      </c>
      <c r="X114" s="218">
        <f t="shared" si="39"/>
        <v>21</v>
      </c>
      <c r="Y114" s="218">
        <f t="shared" si="39"/>
        <v>22</v>
      </c>
      <c r="Z114" s="218">
        <f t="shared" si="39"/>
        <v>23</v>
      </c>
      <c r="AA114" s="218">
        <f t="shared" si="39"/>
        <v>24</v>
      </c>
      <c r="AB114" s="218">
        <f t="shared" si="39"/>
        <v>25</v>
      </c>
      <c r="AC114" s="218">
        <f t="shared" si="39"/>
        <v>26</v>
      </c>
      <c r="AD114" s="218">
        <f t="shared" si="39"/>
        <v>27</v>
      </c>
      <c r="AE114" s="218">
        <f t="shared" si="39"/>
        <v>28</v>
      </c>
      <c r="AF114" s="218">
        <f t="shared" si="39"/>
        <v>29</v>
      </c>
      <c r="AG114" s="218">
        <f t="shared" si="39"/>
        <v>30</v>
      </c>
      <c r="AH114" s="218">
        <f t="shared" si="39"/>
        <v>31</v>
      </c>
      <c r="AI114" s="218">
        <f t="shared" si="39"/>
        <v>32</v>
      </c>
      <c r="AJ114" s="218">
        <f t="shared" si="39"/>
        <v>33</v>
      </c>
      <c r="AK114" s="218">
        <f t="shared" si="39"/>
        <v>34</v>
      </c>
      <c r="AL114" s="218">
        <f t="shared" si="39"/>
        <v>35</v>
      </c>
      <c r="AM114" s="218">
        <f t="shared" si="39"/>
        <v>36</v>
      </c>
      <c r="AN114" s="218">
        <f t="shared" si="39"/>
        <v>37</v>
      </c>
      <c r="AO114" s="218">
        <f t="shared" si="39"/>
        <v>38</v>
      </c>
      <c r="AP114" s="218">
        <f t="shared" si="39"/>
        <v>39</v>
      </c>
      <c r="AQ114" s="218">
        <f t="shared" si="39"/>
        <v>40</v>
      </c>
    </row>
    <row r="115" spans="2:43" s="126" customFormat="1" ht="12">
      <c r="B115" s="126" t="s">
        <v>60</v>
      </c>
      <c r="C115" s="3"/>
      <c r="D115" s="127">
        <f aca="true" t="shared" si="40" ref="D115:AQ115">D44*D96</f>
        <v>0</v>
      </c>
      <c r="E115" s="127">
        <f t="shared" si="40"/>
        <v>0</v>
      </c>
      <c r="F115" s="127">
        <f t="shared" si="40"/>
        <v>0</v>
      </c>
      <c r="G115" s="127">
        <f t="shared" si="40"/>
        <v>0</v>
      </c>
      <c r="H115" s="127">
        <f t="shared" si="40"/>
        <v>0</v>
      </c>
      <c r="I115" s="127">
        <f t="shared" si="40"/>
        <v>0</v>
      </c>
      <c r="J115" s="127">
        <f t="shared" si="40"/>
        <v>0</v>
      </c>
      <c r="K115" s="127">
        <f t="shared" si="40"/>
        <v>0</v>
      </c>
      <c r="L115" s="127">
        <f t="shared" si="40"/>
        <v>0</v>
      </c>
      <c r="M115" s="127">
        <f t="shared" si="40"/>
        <v>0</v>
      </c>
      <c r="N115" s="127">
        <f t="shared" si="40"/>
        <v>0</v>
      </c>
      <c r="O115" s="127">
        <f t="shared" si="40"/>
        <v>0</v>
      </c>
      <c r="P115" s="127">
        <f t="shared" si="40"/>
        <v>0</v>
      </c>
      <c r="Q115" s="127">
        <f t="shared" si="40"/>
        <v>0</v>
      </c>
      <c r="R115" s="127">
        <f t="shared" si="40"/>
        <v>0</v>
      </c>
      <c r="S115" s="127">
        <f t="shared" si="40"/>
        <v>0</v>
      </c>
      <c r="T115" s="127">
        <f t="shared" si="40"/>
        <v>0</v>
      </c>
      <c r="U115" s="127">
        <f t="shared" si="40"/>
        <v>0</v>
      </c>
      <c r="V115" s="127">
        <f t="shared" si="40"/>
        <v>0</v>
      </c>
      <c r="W115" s="127">
        <f t="shared" si="40"/>
        <v>0</v>
      </c>
      <c r="X115" s="127">
        <f t="shared" si="40"/>
        <v>0</v>
      </c>
      <c r="Y115" s="127">
        <f t="shared" si="40"/>
        <v>0</v>
      </c>
      <c r="Z115" s="127">
        <f t="shared" si="40"/>
        <v>0</v>
      </c>
      <c r="AA115" s="127">
        <f t="shared" si="40"/>
        <v>0</v>
      </c>
      <c r="AB115" s="127">
        <f t="shared" si="40"/>
        <v>0</v>
      </c>
      <c r="AC115" s="127">
        <f t="shared" si="40"/>
        <v>0</v>
      </c>
      <c r="AD115" s="127">
        <f t="shared" si="40"/>
        <v>0</v>
      </c>
      <c r="AE115" s="127">
        <f t="shared" si="40"/>
        <v>0</v>
      </c>
      <c r="AF115" s="127">
        <f t="shared" si="40"/>
        <v>0</v>
      </c>
      <c r="AG115" s="127">
        <f t="shared" si="40"/>
        <v>0</v>
      </c>
      <c r="AH115" s="127">
        <f t="shared" si="40"/>
        <v>0</v>
      </c>
      <c r="AI115" s="127">
        <f t="shared" si="40"/>
        <v>0</v>
      </c>
      <c r="AJ115" s="127">
        <f t="shared" si="40"/>
        <v>0</v>
      </c>
      <c r="AK115" s="127">
        <f t="shared" si="40"/>
        <v>0</v>
      </c>
      <c r="AL115" s="127">
        <f t="shared" si="40"/>
        <v>0</v>
      </c>
      <c r="AM115" s="127">
        <f t="shared" si="40"/>
        <v>0</v>
      </c>
      <c r="AN115" s="127">
        <f t="shared" si="40"/>
        <v>0</v>
      </c>
      <c r="AO115" s="127">
        <f t="shared" si="40"/>
        <v>0</v>
      </c>
      <c r="AP115" s="127">
        <f t="shared" si="40"/>
        <v>0</v>
      </c>
      <c r="AQ115" s="127">
        <f t="shared" si="40"/>
        <v>0</v>
      </c>
    </row>
    <row r="116" spans="2:43" s="126" customFormat="1" ht="12">
      <c r="B116" s="126" t="s">
        <v>61</v>
      </c>
      <c r="C116" s="3"/>
      <c r="D116" s="219">
        <f aca="true" t="shared" si="41" ref="D116:AQ116">IF(D98=0,0,D115/D98)</f>
        <v>0</v>
      </c>
      <c r="E116" s="219">
        <f t="shared" si="41"/>
        <v>0</v>
      </c>
      <c r="F116" s="219">
        <f t="shared" si="41"/>
        <v>0</v>
      </c>
      <c r="G116" s="219">
        <f t="shared" si="41"/>
        <v>0</v>
      </c>
      <c r="H116" s="219">
        <f t="shared" si="41"/>
        <v>0</v>
      </c>
      <c r="I116" s="219">
        <f t="shared" si="41"/>
        <v>0</v>
      </c>
      <c r="J116" s="219">
        <f t="shared" si="41"/>
        <v>0</v>
      </c>
      <c r="K116" s="219">
        <f t="shared" si="41"/>
        <v>0</v>
      </c>
      <c r="L116" s="219">
        <f t="shared" si="41"/>
        <v>0</v>
      </c>
      <c r="M116" s="219">
        <f t="shared" si="41"/>
        <v>0</v>
      </c>
      <c r="N116" s="219">
        <f t="shared" si="41"/>
        <v>0</v>
      </c>
      <c r="O116" s="219">
        <f t="shared" si="41"/>
        <v>0</v>
      </c>
      <c r="P116" s="219">
        <f t="shared" si="41"/>
        <v>0</v>
      </c>
      <c r="Q116" s="219">
        <f t="shared" si="41"/>
        <v>0</v>
      </c>
      <c r="R116" s="219">
        <f t="shared" si="41"/>
        <v>0</v>
      </c>
      <c r="S116" s="219">
        <f t="shared" si="41"/>
        <v>0</v>
      </c>
      <c r="T116" s="219">
        <f t="shared" si="41"/>
        <v>0</v>
      </c>
      <c r="U116" s="219">
        <f t="shared" si="41"/>
        <v>0</v>
      </c>
      <c r="V116" s="219">
        <f t="shared" si="41"/>
        <v>0</v>
      </c>
      <c r="W116" s="219">
        <f t="shared" si="41"/>
        <v>0</v>
      </c>
      <c r="X116" s="219">
        <f t="shared" si="41"/>
        <v>0</v>
      </c>
      <c r="Y116" s="219">
        <f t="shared" si="41"/>
        <v>0</v>
      </c>
      <c r="Z116" s="219">
        <f t="shared" si="41"/>
        <v>0</v>
      </c>
      <c r="AA116" s="219">
        <f t="shared" si="41"/>
        <v>0</v>
      </c>
      <c r="AB116" s="219">
        <f t="shared" si="41"/>
        <v>0</v>
      </c>
      <c r="AC116" s="219">
        <f t="shared" si="41"/>
        <v>0</v>
      </c>
      <c r="AD116" s="219">
        <f t="shared" si="41"/>
        <v>0</v>
      </c>
      <c r="AE116" s="219">
        <f t="shared" si="41"/>
        <v>0</v>
      </c>
      <c r="AF116" s="219">
        <f t="shared" si="41"/>
        <v>0</v>
      </c>
      <c r="AG116" s="219">
        <f t="shared" si="41"/>
        <v>0</v>
      </c>
      <c r="AH116" s="219">
        <f t="shared" si="41"/>
        <v>0</v>
      </c>
      <c r="AI116" s="219">
        <f t="shared" si="41"/>
        <v>0</v>
      </c>
      <c r="AJ116" s="219">
        <f t="shared" si="41"/>
        <v>0</v>
      </c>
      <c r="AK116" s="219">
        <f t="shared" si="41"/>
        <v>0</v>
      </c>
      <c r="AL116" s="219">
        <f t="shared" si="41"/>
        <v>0</v>
      </c>
      <c r="AM116" s="219">
        <f t="shared" si="41"/>
        <v>0</v>
      </c>
      <c r="AN116" s="219">
        <f t="shared" si="41"/>
        <v>0</v>
      </c>
      <c r="AO116" s="219">
        <f t="shared" si="41"/>
        <v>0</v>
      </c>
      <c r="AP116" s="219">
        <f t="shared" si="41"/>
        <v>0</v>
      </c>
      <c r="AQ116" s="219">
        <f t="shared" si="41"/>
        <v>0</v>
      </c>
    </row>
    <row r="117" spans="2:43" s="126" customFormat="1" ht="12">
      <c r="B117" s="126" t="s">
        <v>53</v>
      </c>
      <c r="C117" s="220">
        <f>SUM(D116:AQ116)/H19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2:43" s="126" customFormat="1" ht="12">
      <c r="B118" s="126" t="s">
        <v>54</v>
      </c>
      <c r="C118" s="220"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2:43" s="126" customFormat="1" ht="12">
      <c r="B119" s="126" t="s">
        <v>51</v>
      </c>
      <c r="C119" s="220">
        <v>1.4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3:43" s="126" customFormat="1" ht="12">
      <c r="C120" s="21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2:43" s="126" customFormat="1" ht="12">
      <c r="B121" s="211" t="s">
        <v>74</v>
      </c>
      <c r="C121" s="212">
        <f aca="true" t="shared" si="42" ref="C121:AQ121">C95</f>
        <v>0</v>
      </c>
      <c r="D121" s="212">
        <f t="shared" si="42"/>
        <v>1</v>
      </c>
      <c r="E121" s="212">
        <f t="shared" si="42"/>
        <v>2</v>
      </c>
      <c r="F121" s="212">
        <f t="shared" si="42"/>
        <v>3</v>
      </c>
      <c r="G121" s="212">
        <f t="shared" si="42"/>
        <v>4</v>
      </c>
      <c r="H121" s="212">
        <f t="shared" si="42"/>
        <v>5</v>
      </c>
      <c r="I121" s="212">
        <f t="shared" si="42"/>
        <v>6</v>
      </c>
      <c r="J121" s="212">
        <f t="shared" si="42"/>
        <v>7</v>
      </c>
      <c r="K121" s="212">
        <f t="shared" si="42"/>
        <v>8</v>
      </c>
      <c r="L121" s="212">
        <f t="shared" si="42"/>
        <v>9</v>
      </c>
      <c r="M121" s="212">
        <f t="shared" si="42"/>
        <v>10</v>
      </c>
      <c r="N121" s="212">
        <f t="shared" si="42"/>
        <v>11</v>
      </c>
      <c r="O121" s="212">
        <f t="shared" si="42"/>
        <v>12</v>
      </c>
      <c r="P121" s="212">
        <f t="shared" si="42"/>
        <v>13</v>
      </c>
      <c r="Q121" s="212">
        <f t="shared" si="42"/>
        <v>14</v>
      </c>
      <c r="R121" s="212">
        <f t="shared" si="42"/>
        <v>15</v>
      </c>
      <c r="S121" s="212">
        <f t="shared" si="42"/>
        <v>16</v>
      </c>
      <c r="T121" s="212">
        <f t="shared" si="42"/>
        <v>17</v>
      </c>
      <c r="U121" s="212">
        <f t="shared" si="42"/>
        <v>18</v>
      </c>
      <c r="V121" s="212">
        <f t="shared" si="42"/>
        <v>19</v>
      </c>
      <c r="W121" s="212">
        <f t="shared" si="42"/>
        <v>20</v>
      </c>
      <c r="X121" s="212">
        <f t="shared" si="42"/>
        <v>21</v>
      </c>
      <c r="Y121" s="212">
        <f t="shared" si="42"/>
        <v>22</v>
      </c>
      <c r="Z121" s="212">
        <f t="shared" si="42"/>
        <v>23</v>
      </c>
      <c r="AA121" s="212">
        <f t="shared" si="42"/>
        <v>24</v>
      </c>
      <c r="AB121" s="212">
        <f t="shared" si="42"/>
        <v>25</v>
      </c>
      <c r="AC121" s="212">
        <f t="shared" si="42"/>
        <v>26</v>
      </c>
      <c r="AD121" s="212">
        <f t="shared" si="42"/>
        <v>27</v>
      </c>
      <c r="AE121" s="212">
        <f t="shared" si="42"/>
        <v>28</v>
      </c>
      <c r="AF121" s="212">
        <f t="shared" si="42"/>
        <v>29</v>
      </c>
      <c r="AG121" s="212">
        <f t="shared" si="42"/>
        <v>30</v>
      </c>
      <c r="AH121" s="212">
        <f t="shared" si="42"/>
        <v>31</v>
      </c>
      <c r="AI121" s="212">
        <f t="shared" si="42"/>
        <v>32</v>
      </c>
      <c r="AJ121" s="212">
        <f t="shared" si="42"/>
        <v>33</v>
      </c>
      <c r="AK121" s="212">
        <f t="shared" si="42"/>
        <v>34</v>
      </c>
      <c r="AL121" s="212">
        <f t="shared" si="42"/>
        <v>35</v>
      </c>
      <c r="AM121" s="212">
        <f t="shared" si="42"/>
        <v>36</v>
      </c>
      <c r="AN121" s="212">
        <f t="shared" si="42"/>
        <v>37</v>
      </c>
      <c r="AO121" s="212">
        <f t="shared" si="42"/>
        <v>38</v>
      </c>
      <c r="AP121" s="212">
        <f t="shared" si="42"/>
        <v>39</v>
      </c>
      <c r="AQ121" s="212">
        <f t="shared" si="42"/>
        <v>40</v>
      </c>
    </row>
    <row r="122" spans="2:43" s="126" customFormat="1" ht="12">
      <c r="B122" s="126" t="s">
        <v>17</v>
      </c>
      <c r="C122" s="216"/>
      <c r="D122" s="216">
        <f aca="true" t="shared" si="43" ref="D122:AQ122">+C125</f>
        <v>0</v>
      </c>
      <c r="E122" s="216">
        <f>+D125</f>
        <v>0</v>
      </c>
      <c r="F122" s="216">
        <f t="shared" si="43"/>
        <v>0</v>
      </c>
      <c r="G122" s="216">
        <f t="shared" si="43"/>
        <v>0</v>
      </c>
      <c r="H122" s="216">
        <f t="shared" si="43"/>
        <v>0</v>
      </c>
      <c r="I122" s="216">
        <f>+H125</f>
        <v>0</v>
      </c>
      <c r="J122" s="216">
        <f t="shared" si="43"/>
        <v>0</v>
      </c>
      <c r="K122" s="216">
        <f t="shared" si="43"/>
        <v>0</v>
      </c>
      <c r="L122" s="216">
        <f t="shared" si="43"/>
        <v>0</v>
      </c>
      <c r="M122" s="216">
        <f t="shared" si="43"/>
        <v>0</v>
      </c>
      <c r="N122" s="216">
        <f t="shared" si="43"/>
        <v>0</v>
      </c>
      <c r="O122" s="216">
        <f t="shared" si="43"/>
        <v>0</v>
      </c>
      <c r="P122" s="216">
        <f t="shared" si="43"/>
        <v>0</v>
      </c>
      <c r="Q122" s="216">
        <f t="shared" si="43"/>
        <v>0</v>
      </c>
      <c r="R122" s="216">
        <f t="shared" si="43"/>
        <v>0</v>
      </c>
      <c r="S122" s="216">
        <f t="shared" si="43"/>
        <v>0</v>
      </c>
      <c r="T122" s="216">
        <f t="shared" si="43"/>
        <v>0</v>
      </c>
      <c r="U122" s="216">
        <f t="shared" si="43"/>
        <v>0</v>
      </c>
      <c r="V122" s="216">
        <f t="shared" si="43"/>
        <v>0</v>
      </c>
      <c r="W122" s="216">
        <f t="shared" si="43"/>
        <v>0</v>
      </c>
      <c r="X122" s="216">
        <f t="shared" si="43"/>
        <v>0</v>
      </c>
      <c r="Y122" s="216">
        <f t="shared" si="43"/>
        <v>0</v>
      </c>
      <c r="Z122" s="216">
        <f t="shared" si="43"/>
        <v>0</v>
      </c>
      <c r="AA122" s="216">
        <f t="shared" si="43"/>
        <v>0</v>
      </c>
      <c r="AB122" s="216">
        <f t="shared" si="43"/>
        <v>0</v>
      </c>
      <c r="AC122" s="216">
        <f t="shared" si="43"/>
        <v>0</v>
      </c>
      <c r="AD122" s="216">
        <f t="shared" si="43"/>
        <v>0</v>
      </c>
      <c r="AE122" s="216">
        <f t="shared" si="43"/>
        <v>0</v>
      </c>
      <c r="AF122" s="216">
        <f t="shared" si="43"/>
        <v>0</v>
      </c>
      <c r="AG122" s="216">
        <f t="shared" si="43"/>
        <v>0</v>
      </c>
      <c r="AH122" s="216">
        <f t="shared" si="43"/>
        <v>0</v>
      </c>
      <c r="AI122" s="216">
        <f t="shared" si="43"/>
        <v>0</v>
      </c>
      <c r="AJ122" s="216">
        <f t="shared" si="43"/>
        <v>0</v>
      </c>
      <c r="AK122" s="216">
        <f t="shared" si="43"/>
        <v>0</v>
      </c>
      <c r="AL122" s="216">
        <f t="shared" si="43"/>
        <v>0</v>
      </c>
      <c r="AM122" s="216">
        <f t="shared" si="43"/>
        <v>0</v>
      </c>
      <c r="AN122" s="216">
        <f t="shared" si="43"/>
        <v>0</v>
      </c>
      <c r="AO122" s="216">
        <f t="shared" si="43"/>
        <v>0</v>
      </c>
      <c r="AP122" s="216">
        <f t="shared" si="43"/>
        <v>0</v>
      </c>
      <c r="AQ122" s="216">
        <f t="shared" si="43"/>
        <v>0</v>
      </c>
    </row>
    <row r="123" spans="2:43" s="126" customFormat="1" ht="12">
      <c r="B123" s="126" t="s">
        <v>62</v>
      </c>
      <c r="C123" s="216">
        <f>C9</f>
        <v>0</v>
      </c>
      <c r="D123" s="216">
        <f aca="true" t="shared" si="44" ref="D123:AQ123">+-(MIN(0,D47))</f>
        <v>0</v>
      </c>
      <c r="E123" s="216">
        <f t="shared" si="44"/>
        <v>0</v>
      </c>
      <c r="F123" s="216">
        <f t="shared" si="44"/>
        <v>0</v>
      </c>
      <c r="G123" s="216">
        <f t="shared" si="44"/>
        <v>0</v>
      </c>
      <c r="H123" s="216">
        <f t="shared" si="44"/>
        <v>0</v>
      </c>
      <c r="I123" s="216">
        <f t="shared" si="44"/>
        <v>0</v>
      </c>
      <c r="J123" s="216">
        <f t="shared" si="44"/>
        <v>0</v>
      </c>
      <c r="K123" s="216">
        <f t="shared" si="44"/>
        <v>0</v>
      </c>
      <c r="L123" s="216">
        <f t="shared" si="44"/>
        <v>0</v>
      </c>
      <c r="M123" s="216">
        <f t="shared" si="44"/>
        <v>0</v>
      </c>
      <c r="N123" s="216">
        <f t="shared" si="44"/>
        <v>0</v>
      </c>
      <c r="O123" s="216">
        <f t="shared" si="44"/>
        <v>0</v>
      </c>
      <c r="P123" s="216">
        <f t="shared" si="44"/>
        <v>0</v>
      </c>
      <c r="Q123" s="216">
        <f t="shared" si="44"/>
        <v>0</v>
      </c>
      <c r="R123" s="216">
        <f t="shared" si="44"/>
        <v>0</v>
      </c>
      <c r="S123" s="216">
        <f t="shared" si="44"/>
        <v>0</v>
      </c>
      <c r="T123" s="216">
        <f t="shared" si="44"/>
        <v>0</v>
      </c>
      <c r="U123" s="216">
        <f t="shared" si="44"/>
        <v>0</v>
      </c>
      <c r="V123" s="216">
        <f t="shared" si="44"/>
        <v>0</v>
      </c>
      <c r="W123" s="216">
        <f t="shared" si="44"/>
        <v>0</v>
      </c>
      <c r="X123" s="216">
        <f t="shared" si="44"/>
        <v>0</v>
      </c>
      <c r="Y123" s="216">
        <f t="shared" si="44"/>
        <v>0</v>
      </c>
      <c r="Z123" s="216">
        <f t="shared" si="44"/>
        <v>0</v>
      </c>
      <c r="AA123" s="216">
        <f t="shared" si="44"/>
        <v>0</v>
      </c>
      <c r="AB123" s="216">
        <f t="shared" si="44"/>
        <v>0</v>
      </c>
      <c r="AC123" s="216">
        <f t="shared" si="44"/>
        <v>0</v>
      </c>
      <c r="AD123" s="216">
        <f t="shared" si="44"/>
        <v>0</v>
      </c>
      <c r="AE123" s="216">
        <f t="shared" si="44"/>
        <v>0</v>
      </c>
      <c r="AF123" s="216">
        <f t="shared" si="44"/>
        <v>0</v>
      </c>
      <c r="AG123" s="216">
        <f t="shared" si="44"/>
        <v>0</v>
      </c>
      <c r="AH123" s="216">
        <f t="shared" si="44"/>
        <v>0</v>
      </c>
      <c r="AI123" s="216">
        <f t="shared" si="44"/>
        <v>0</v>
      </c>
      <c r="AJ123" s="216">
        <f t="shared" si="44"/>
        <v>0</v>
      </c>
      <c r="AK123" s="216">
        <f t="shared" si="44"/>
        <v>0</v>
      </c>
      <c r="AL123" s="216">
        <f t="shared" si="44"/>
        <v>0</v>
      </c>
      <c r="AM123" s="216">
        <f t="shared" si="44"/>
        <v>0</v>
      </c>
      <c r="AN123" s="216">
        <f t="shared" si="44"/>
        <v>0</v>
      </c>
      <c r="AO123" s="216">
        <f t="shared" si="44"/>
        <v>0</v>
      </c>
      <c r="AP123" s="216">
        <f t="shared" si="44"/>
        <v>0</v>
      </c>
      <c r="AQ123" s="216">
        <f t="shared" si="44"/>
        <v>0</v>
      </c>
    </row>
    <row r="124" spans="2:43" s="126" customFormat="1" ht="12">
      <c r="B124" s="126" t="s">
        <v>63</v>
      </c>
      <c r="C124" s="216">
        <f aca="true" t="shared" si="45" ref="C124:AQ124">+-(MAX(0,C47))</f>
        <v>0</v>
      </c>
      <c r="D124" s="216">
        <f t="shared" si="45"/>
        <v>0</v>
      </c>
      <c r="E124" s="216">
        <f t="shared" si="45"/>
        <v>0</v>
      </c>
      <c r="F124" s="216">
        <f t="shared" si="45"/>
        <v>0</v>
      </c>
      <c r="G124" s="216">
        <f t="shared" si="45"/>
        <v>0</v>
      </c>
      <c r="H124" s="216">
        <f t="shared" si="45"/>
        <v>0</v>
      </c>
      <c r="I124" s="216">
        <f t="shared" si="45"/>
        <v>0</v>
      </c>
      <c r="J124" s="216">
        <f t="shared" si="45"/>
        <v>0</v>
      </c>
      <c r="K124" s="216">
        <f t="shared" si="45"/>
        <v>0</v>
      </c>
      <c r="L124" s="216">
        <f t="shared" si="45"/>
        <v>0</v>
      </c>
      <c r="M124" s="216">
        <f t="shared" si="45"/>
        <v>0</v>
      </c>
      <c r="N124" s="216">
        <f t="shared" si="45"/>
        <v>0</v>
      </c>
      <c r="O124" s="216">
        <f t="shared" si="45"/>
        <v>0</v>
      </c>
      <c r="P124" s="216">
        <f t="shared" si="45"/>
        <v>0</v>
      </c>
      <c r="Q124" s="216">
        <f t="shared" si="45"/>
        <v>0</v>
      </c>
      <c r="R124" s="216">
        <f t="shared" si="45"/>
        <v>0</v>
      </c>
      <c r="S124" s="216">
        <f t="shared" si="45"/>
        <v>0</v>
      </c>
      <c r="T124" s="216">
        <f t="shared" si="45"/>
        <v>0</v>
      </c>
      <c r="U124" s="216">
        <f t="shared" si="45"/>
        <v>0</v>
      </c>
      <c r="V124" s="216">
        <f t="shared" si="45"/>
        <v>0</v>
      </c>
      <c r="W124" s="216">
        <f t="shared" si="45"/>
        <v>0</v>
      </c>
      <c r="X124" s="216">
        <f t="shared" si="45"/>
        <v>0</v>
      </c>
      <c r="Y124" s="216">
        <f t="shared" si="45"/>
        <v>0</v>
      </c>
      <c r="Z124" s="216">
        <f t="shared" si="45"/>
        <v>0</v>
      </c>
      <c r="AA124" s="216">
        <f t="shared" si="45"/>
        <v>0</v>
      </c>
      <c r="AB124" s="216">
        <f t="shared" si="45"/>
        <v>0</v>
      </c>
      <c r="AC124" s="216">
        <f t="shared" si="45"/>
        <v>0</v>
      </c>
      <c r="AD124" s="216">
        <f t="shared" si="45"/>
        <v>0</v>
      </c>
      <c r="AE124" s="216">
        <f t="shared" si="45"/>
        <v>0</v>
      </c>
      <c r="AF124" s="216">
        <f t="shared" si="45"/>
        <v>0</v>
      </c>
      <c r="AG124" s="216">
        <f t="shared" si="45"/>
        <v>0</v>
      </c>
      <c r="AH124" s="216">
        <f t="shared" si="45"/>
        <v>0</v>
      </c>
      <c r="AI124" s="216">
        <f t="shared" si="45"/>
        <v>0</v>
      </c>
      <c r="AJ124" s="216">
        <f t="shared" si="45"/>
        <v>0</v>
      </c>
      <c r="AK124" s="216">
        <f t="shared" si="45"/>
        <v>0</v>
      </c>
      <c r="AL124" s="216">
        <f t="shared" si="45"/>
        <v>0</v>
      </c>
      <c r="AM124" s="216">
        <f t="shared" si="45"/>
        <v>0</v>
      </c>
      <c r="AN124" s="216">
        <f t="shared" si="45"/>
        <v>0</v>
      </c>
      <c r="AO124" s="216">
        <f t="shared" si="45"/>
        <v>0</v>
      </c>
      <c r="AP124" s="216">
        <f t="shared" si="45"/>
        <v>0</v>
      </c>
      <c r="AQ124" s="216">
        <f t="shared" si="45"/>
        <v>0</v>
      </c>
    </row>
    <row r="125" spans="2:43" s="126" customFormat="1" ht="12">
      <c r="B125" s="126" t="s">
        <v>20</v>
      </c>
      <c r="C125" s="216">
        <f aca="true" t="shared" si="46" ref="C125:AQ125">SUM(C122:C124)</f>
        <v>0</v>
      </c>
      <c r="D125" s="216">
        <f t="shared" si="46"/>
        <v>0</v>
      </c>
      <c r="E125" s="216">
        <f t="shared" si="46"/>
        <v>0</v>
      </c>
      <c r="F125" s="216">
        <f t="shared" si="46"/>
        <v>0</v>
      </c>
      <c r="G125" s="216">
        <f t="shared" si="46"/>
        <v>0</v>
      </c>
      <c r="H125" s="216">
        <f t="shared" si="46"/>
        <v>0</v>
      </c>
      <c r="I125" s="216">
        <f t="shared" si="46"/>
        <v>0</v>
      </c>
      <c r="J125" s="216">
        <f t="shared" si="46"/>
        <v>0</v>
      </c>
      <c r="K125" s="216">
        <f t="shared" si="46"/>
        <v>0</v>
      </c>
      <c r="L125" s="216">
        <f t="shared" si="46"/>
        <v>0</v>
      </c>
      <c r="M125" s="216">
        <f t="shared" si="46"/>
        <v>0</v>
      </c>
      <c r="N125" s="216">
        <f t="shared" si="46"/>
        <v>0</v>
      </c>
      <c r="O125" s="216">
        <f t="shared" si="46"/>
        <v>0</v>
      </c>
      <c r="P125" s="216">
        <f t="shared" si="46"/>
        <v>0</v>
      </c>
      <c r="Q125" s="216">
        <f t="shared" si="46"/>
        <v>0</v>
      </c>
      <c r="R125" s="216">
        <f t="shared" si="46"/>
        <v>0</v>
      </c>
      <c r="S125" s="216">
        <f t="shared" si="46"/>
        <v>0</v>
      </c>
      <c r="T125" s="216">
        <f t="shared" si="46"/>
        <v>0</v>
      </c>
      <c r="U125" s="216">
        <f t="shared" si="46"/>
        <v>0</v>
      </c>
      <c r="V125" s="216">
        <f t="shared" si="46"/>
        <v>0</v>
      </c>
      <c r="W125" s="216">
        <f t="shared" si="46"/>
        <v>0</v>
      </c>
      <c r="X125" s="216">
        <f t="shared" si="46"/>
        <v>0</v>
      </c>
      <c r="Y125" s="216">
        <f t="shared" si="46"/>
        <v>0</v>
      </c>
      <c r="Z125" s="216">
        <f t="shared" si="46"/>
        <v>0</v>
      </c>
      <c r="AA125" s="216">
        <f t="shared" si="46"/>
        <v>0</v>
      </c>
      <c r="AB125" s="216">
        <f t="shared" si="46"/>
        <v>0</v>
      </c>
      <c r="AC125" s="216">
        <f t="shared" si="46"/>
        <v>0</v>
      </c>
      <c r="AD125" s="216">
        <f t="shared" si="46"/>
        <v>0</v>
      </c>
      <c r="AE125" s="216">
        <f t="shared" si="46"/>
        <v>0</v>
      </c>
      <c r="AF125" s="216">
        <f t="shared" si="46"/>
        <v>0</v>
      </c>
      <c r="AG125" s="216">
        <f t="shared" si="46"/>
        <v>0</v>
      </c>
      <c r="AH125" s="216">
        <f t="shared" si="46"/>
        <v>0</v>
      </c>
      <c r="AI125" s="216">
        <f t="shared" si="46"/>
        <v>0</v>
      </c>
      <c r="AJ125" s="216">
        <f t="shared" si="46"/>
        <v>0</v>
      </c>
      <c r="AK125" s="216">
        <f t="shared" si="46"/>
        <v>0</v>
      </c>
      <c r="AL125" s="216">
        <f t="shared" si="46"/>
        <v>0</v>
      </c>
      <c r="AM125" s="216">
        <f t="shared" si="46"/>
        <v>0</v>
      </c>
      <c r="AN125" s="216">
        <f t="shared" si="46"/>
        <v>0</v>
      </c>
      <c r="AO125" s="216">
        <f t="shared" si="46"/>
        <v>0</v>
      </c>
      <c r="AP125" s="216">
        <f t="shared" si="46"/>
        <v>0</v>
      </c>
      <c r="AQ125" s="216">
        <f t="shared" si="46"/>
        <v>0</v>
      </c>
    </row>
    <row r="126" spans="2:43" s="126" customFormat="1" ht="12">
      <c r="B126" s="126" t="s">
        <v>64</v>
      </c>
      <c r="C126" s="32">
        <f>+H22</f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2:47" s="126" customFormat="1" ht="12">
      <c r="B127" s="126" t="s">
        <v>65</v>
      </c>
      <c r="C127" s="216">
        <f aca="true" t="shared" si="47" ref="C127:AQ127">+C122*$C$126</f>
        <v>0</v>
      </c>
      <c r="D127" s="216">
        <f t="shared" si="47"/>
        <v>0</v>
      </c>
      <c r="E127" s="216">
        <f t="shared" si="47"/>
        <v>0</v>
      </c>
      <c r="F127" s="216">
        <f t="shared" si="47"/>
        <v>0</v>
      </c>
      <c r="G127" s="216">
        <f t="shared" si="47"/>
        <v>0</v>
      </c>
      <c r="H127" s="216">
        <f t="shared" si="47"/>
        <v>0</v>
      </c>
      <c r="I127" s="216">
        <f t="shared" si="47"/>
        <v>0</v>
      </c>
      <c r="J127" s="216">
        <f t="shared" si="47"/>
        <v>0</v>
      </c>
      <c r="K127" s="216">
        <f t="shared" si="47"/>
        <v>0</v>
      </c>
      <c r="L127" s="216">
        <f t="shared" si="47"/>
        <v>0</v>
      </c>
      <c r="M127" s="216">
        <f t="shared" si="47"/>
        <v>0</v>
      </c>
      <c r="N127" s="216">
        <f t="shared" si="47"/>
        <v>0</v>
      </c>
      <c r="O127" s="216">
        <f t="shared" si="47"/>
        <v>0</v>
      </c>
      <c r="P127" s="216">
        <f t="shared" si="47"/>
        <v>0</v>
      </c>
      <c r="Q127" s="216">
        <f t="shared" si="47"/>
        <v>0</v>
      </c>
      <c r="R127" s="216">
        <f t="shared" si="47"/>
        <v>0</v>
      </c>
      <c r="S127" s="216">
        <f t="shared" si="47"/>
        <v>0</v>
      </c>
      <c r="T127" s="216">
        <f t="shared" si="47"/>
        <v>0</v>
      </c>
      <c r="U127" s="216">
        <f t="shared" si="47"/>
        <v>0</v>
      </c>
      <c r="V127" s="216">
        <f t="shared" si="47"/>
        <v>0</v>
      </c>
      <c r="W127" s="216">
        <f t="shared" si="47"/>
        <v>0</v>
      </c>
      <c r="X127" s="216">
        <f t="shared" si="47"/>
        <v>0</v>
      </c>
      <c r="Y127" s="216">
        <f t="shared" si="47"/>
        <v>0</v>
      </c>
      <c r="Z127" s="216">
        <f t="shared" si="47"/>
        <v>0</v>
      </c>
      <c r="AA127" s="216">
        <f t="shared" si="47"/>
        <v>0</v>
      </c>
      <c r="AB127" s="216">
        <f t="shared" si="47"/>
        <v>0</v>
      </c>
      <c r="AC127" s="216">
        <f t="shared" si="47"/>
        <v>0</v>
      </c>
      <c r="AD127" s="216">
        <f t="shared" si="47"/>
        <v>0</v>
      </c>
      <c r="AE127" s="216">
        <f t="shared" si="47"/>
        <v>0</v>
      </c>
      <c r="AF127" s="216">
        <f t="shared" si="47"/>
        <v>0</v>
      </c>
      <c r="AG127" s="216">
        <f t="shared" si="47"/>
        <v>0</v>
      </c>
      <c r="AH127" s="216">
        <f t="shared" si="47"/>
        <v>0</v>
      </c>
      <c r="AI127" s="216">
        <f t="shared" si="47"/>
        <v>0</v>
      </c>
      <c r="AJ127" s="216">
        <f t="shared" si="47"/>
        <v>0</v>
      </c>
      <c r="AK127" s="216">
        <f t="shared" si="47"/>
        <v>0</v>
      </c>
      <c r="AL127" s="216">
        <f t="shared" si="47"/>
        <v>0</v>
      </c>
      <c r="AM127" s="216">
        <f t="shared" si="47"/>
        <v>0</v>
      </c>
      <c r="AN127" s="216">
        <f t="shared" si="47"/>
        <v>0</v>
      </c>
      <c r="AO127" s="216">
        <f t="shared" si="47"/>
        <v>0</v>
      </c>
      <c r="AP127" s="216">
        <f t="shared" si="47"/>
        <v>0</v>
      </c>
      <c r="AQ127" s="216">
        <f t="shared" si="47"/>
        <v>0</v>
      </c>
      <c r="AS127" s="221"/>
      <c r="AT127" s="221"/>
      <c r="AU127" s="221"/>
    </row>
    <row r="128" spans="2:43" s="126" customFormat="1" ht="12">
      <c r="B128" s="14"/>
      <c r="C128" s="3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</row>
    <row r="129" spans="2:43" s="126" customFormat="1" ht="12">
      <c r="B129" s="222" t="s">
        <v>55</v>
      </c>
      <c r="C129" s="223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</row>
    <row r="130" spans="2:43" s="126" customFormat="1" ht="12">
      <c r="B130" s="225" t="s">
        <v>50</v>
      </c>
      <c r="C130" s="226">
        <f>SUM(D98:AQ98)</f>
        <v>0</v>
      </c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224"/>
      <c r="AO130" s="224"/>
      <c r="AP130" s="224"/>
      <c r="AQ130" s="224"/>
    </row>
    <row r="131" spans="2:43" s="126" customFormat="1" ht="12">
      <c r="B131" s="227" t="s">
        <v>51</v>
      </c>
      <c r="C131" s="228">
        <f>C119</f>
        <v>1.4</v>
      </c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4"/>
      <c r="AK131" s="224"/>
      <c r="AL131" s="224"/>
      <c r="AM131" s="224"/>
      <c r="AN131" s="224"/>
      <c r="AO131" s="224"/>
      <c r="AP131" s="224"/>
      <c r="AQ131" s="224"/>
    </row>
    <row r="132" spans="2:43" s="126" customFormat="1" ht="12">
      <c r="B132" s="227" t="s">
        <v>52</v>
      </c>
      <c r="C132" s="229">
        <f>C131*C130</f>
        <v>0</v>
      </c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</row>
    <row r="133" spans="2:43" s="126" customFormat="1" ht="12">
      <c r="B133" s="227" t="s">
        <v>57</v>
      </c>
      <c r="C133" s="229">
        <f>SUMPRODUCT(D44:AQ44,D96:AQ96)</f>
        <v>0</v>
      </c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  <c r="AN133" s="224"/>
      <c r="AO133" s="224"/>
      <c r="AP133" s="224"/>
      <c r="AQ133" s="224"/>
    </row>
    <row r="134" spans="2:43" s="126" customFormat="1" ht="12">
      <c r="B134" s="230" t="s">
        <v>56</v>
      </c>
      <c r="C134" s="231">
        <f>C133-C132</f>
        <v>0</v>
      </c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  <c r="AO134" s="224"/>
      <c r="AP134" s="224"/>
      <c r="AQ134" s="224"/>
    </row>
    <row r="135" spans="2:43" s="126" customFormat="1" ht="12">
      <c r="B135" s="11"/>
      <c r="C135" s="232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</row>
    <row r="136" spans="2:43" s="126" customFormat="1" ht="12">
      <c r="B136" s="233" t="s">
        <v>89</v>
      </c>
      <c r="C136" s="234" t="s">
        <v>88</v>
      </c>
      <c r="D136" s="112">
        <v>1</v>
      </c>
      <c r="E136" s="112">
        <v>2</v>
      </c>
      <c r="F136" s="112">
        <v>3</v>
      </c>
      <c r="G136" s="112">
        <v>4</v>
      </c>
      <c r="H136" s="112">
        <v>5</v>
      </c>
      <c r="I136" s="112">
        <v>6</v>
      </c>
      <c r="J136" s="112">
        <v>7</v>
      </c>
      <c r="K136" s="112">
        <v>8</v>
      </c>
      <c r="L136" s="112">
        <v>9</v>
      </c>
      <c r="M136" s="112">
        <v>10</v>
      </c>
      <c r="N136" s="112">
        <v>11</v>
      </c>
      <c r="O136" s="112">
        <v>12</v>
      </c>
      <c r="P136" s="112">
        <v>13</v>
      </c>
      <c r="Q136" s="112">
        <v>14</v>
      </c>
      <c r="R136" s="112">
        <v>15</v>
      </c>
      <c r="S136" s="112">
        <v>16</v>
      </c>
      <c r="T136" s="112">
        <v>17</v>
      </c>
      <c r="U136" s="112">
        <v>18</v>
      </c>
      <c r="V136" s="112">
        <v>19</v>
      </c>
      <c r="W136" s="112">
        <v>20</v>
      </c>
      <c r="X136" s="112">
        <v>21</v>
      </c>
      <c r="Y136" s="112">
        <v>22</v>
      </c>
      <c r="Z136" s="112">
        <v>23</v>
      </c>
      <c r="AA136" s="112">
        <v>24</v>
      </c>
      <c r="AB136" s="112">
        <v>25</v>
      </c>
      <c r="AC136" s="112">
        <v>26</v>
      </c>
      <c r="AD136" s="112">
        <v>27</v>
      </c>
      <c r="AE136" s="112">
        <v>28</v>
      </c>
      <c r="AF136" s="112">
        <v>29</v>
      </c>
      <c r="AG136" s="112">
        <v>30</v>
      </c>
      <c r="AH136" s="112">
        <v>31</v>
      </c>
      <c r="AI136" s="112">
        <v>32</v>
      </c>
      <c r="AJ136" s="112">
        <v>33</v>
      </c>
      <c r="AK136" s="112">
        <v>34</v>
      </c>
      <c r="AL136" s="112">
        <v>35</v>
      </c>
      <c r="AM136" s="112">
        <v>36</v>
      </c>
      <c r="AN136" s="112">
        <v>37</v>
      </c>
      <c r="AO136" s="112">
        <v>38</v>
      </c>
      <c r="AP136" s="112">
        <v>39</v>
      </c>
      <c r="AQ136" s="112">
        <v>40</v>
      </c>
    </row>
    <row r="137" s="126" customFormat="1" ht="12">
      <c r="C137" s="126">
        <v>0</v>
      </c>
    </row>
    <row r="138" spans="2:43" s="126" customFormat="1" ht="12">
      <c r="B138" s="13"/>
      <c r="C138" s="126">
        <v>3</v>
      </c>
      <c r="D138" s="32">
        <v>0.3333</v>
      </c>
      <c r="E138" s="32">
        <v>0.4445</v>
      </c>
      <c r="F138" s="32">
        <v>0.1481</v>
      </c>
      <c r="G138" s="32">
        <v>0.0741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</row>
    <row r="139" spans="2:47" s="126" customFormat="1" ht="12">
      <c r="B139" s="13"/>
      <c r="C139" s="13">
        <v>5</v>
      </c>
      <c r="D139" s="32">
        <v>0.2</v>
      </c>
      <c r="E139" s="32">
        <v>0.32</v>
      </c>
      <c r="F139" s="32">
        <v>0.192</v>
      </c>
      <c r="G139" s="32">
        <v>0.1152</v>
      </c>
      <c r="H139" s="32">
        <v>0.1152</v>
      </c>
      <c r="I139" s="32">
        <v>0.0576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</row>
    <row r="140" spans="2:47" s="126" customFormat="1" ht="12">
      <c r="B140" s="13"/>
      <c r="C140" s="13">
        <v>7</v>
      </c>
      <c r="D140" s="32">
        <v>0.1429</v>
      </c>
      <c r="E140" s="32">
        <v>0.24489999999999998</v>
      </c>
      <c r="F140" s="32">
        <v>0.17489999999999997</v>
      </c>
      <c r="G140" s="32">
        <v>0.1249</v>
      </c>
      <c r="H140" s="32">
        <v>0.0893</v>
      </c>
      <c r="I140" s="32">
        <v>0.0892</v>
      </c>
      <c r="J140" s="32">
        <v>0.08929999999999999</v>
      </c>
      <c r="K140" s="32">
        <v>0.0446</v>
      </c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</row>
    <row r="141" spans="3:24" ht="12">
      <c r="C141" s="13">
        <v>10</v>
      </c>
      <c r="D141" s="32">
        <v>0.1</v>
      </c>
      <c r="E141" s="32">
        <v>0.18</v>
      </c>
      <c r="F141" s="32">
        <v>0.14400000000000002</v>
      </c>
      <c r="G141" s="32">
        <v>0.1152</v>
      </c>
      <c r="H141" s="32">
        <v>0.0922</v>
      </c>
      <c r="I141" s="32">
        <v>0.0737</v>
      </c>
      <c r="J141" s="32">
        <v>0.0655</v>
      </c>
      <c r="K141" s="32">
        <v>0.0655</v>
      </c>
      <c r="L141" s="32">
        <v>0.06559999999999999</v>
      </c>
      <c r="M141" s="32">
        <v>0.0655</v>
      </c>
      <c r="N141" s="32">
        <v>0.032799999999999996</v>
      </c>
      <c r="O141" s="32"/>
      <c r="P141" s="32"/>
      <c r="Q141" s="32"/>
      <c r="R141" s="32"/>
      <c r="S141" s="32"/>
      <c r="T141" s="32"/>
      <c r="U141" s="32"/>
      <c r="V141" s="32"/>
      <c r="W141" s="32"/>
      <c r="X141" s="32"/>
    </row>
    <row r="142" spans="3:24" ht="12">
      <c r="C142" s="13">
        <v>15</v>
      </c>
      <c r="D142" s="32">
        <v>0.05</v>
      </c>
      <c r="E142" s="32">
        <v>0.095</v>
      </c>
      <c r="F142" s="32">
        <v>0.0855</v>
      </c>
      <c r="G142" s="32">
        <v>0.077</v>
      </c>
      <c r="H142" s="32">
        <v>0.0693</v>
      </c>
      <c r="I142" s="32">
        <v>0.0623</v>
      </c>
      <c r="J142" s="32">
        <v>0.059</v>
      </c>
      <c r="K142" s="32">
        <v>0.059000000000000004</v>
      </c>
      <c r="L142" s="32">
        <v>0.0591</v>
      </c>
      <c r="M142" s="32">
        <v>0.059000000000000004</v>
      </c>
      <c r="N142" s="32">
        <v>0.0591</v>
      </c>
      <c r="O142" s="32">
        <v>0.059000000000000004</v>
      </c>
      <c r="P142" s="32">
        <v>0.0591</v>
      </c>
      <c r="Q142" s="32">
        <v>0.059000000000000004</v>
      </c>
      <c r="R142" s="32">
        <v>0.0591</v>
      </c>
      <c r="S142" s="32">
        <v>0.029500000000000002</v>
      </c>
      <c r="T142" s="32"/>
      <c r="U142" s="32"/>
      <c r="V142" s="32"/>
      <c r="W142" s="32"/>
      <c r="X142" s="32"/>
    </row>
    <row r="143" spans="3:24" ht="12">
      <c r="C143" s="13">
        <v>20</v>
      </c>
      <c r="D143" s="32">
        <v>0.0375</v>
      </c>
      <c r="E143" s="32">
        <v>0.07219</v>
      </c>
      <c r="F143" s="32">
        <v>0.06677</v>
      </c>
      <c r="G143" s="32">
        <v>0.06177</v>
      </c>
      <c r="H143" s="32">
        <v>0.05713</v>
      </c>
      <c r="I143" s="32">
        <v>0.05285</v>
      </c>
      <c r="J143" s="32">
        <v>0.04888</v>
      </c>
      <c r="K143" s="32">
        <v>0.04522</v>
      </c>
      <c r="L143" s="32">
        <v>0.04462</v>
      </c>
      <c r="M143" s="32">
        <v>0.044610000000000004</v>
      </c>
      <c r="N143" s="32">
        <v>0.04462</v>
      </c>
      <c r="O143" s="32">
        <v>0.044610000000000004</v>
      </c>
      <c r="P143" s="32">
        <v>0.04462</v>
      </c>
      <c r="Q143" s="32">
        <v>0.044610000000000004</v>
      </c>
      <c r="R143" s="32">
        <v>0.04462</v>
      </c>
      <c r="S143" s="32">
        <v>0.044610000000000004</v>
      </c>
      <c r="T143" s="32">
        <v>0.04462</v>
      </c>
      <c r="U143" s="32">
        <v>0.044610000000000004</v>
      </c>
      <c r="V143" s="32">
        <v>0.04462</v>
      </c>
      <c r="W143" s="32">
        <v>0.044610000000000004</v>
      </c>
      <c r="X143" s="32">
        <v>0.02231</v>
      </c>
    </row>
    <row r="144" spans="3:9" ht="12">
      <c r="C144" s="152" t="s">
        <v>90</v>
      </c>
      <c r="D144" s="235">
        <f>50%+50%*D139</f>
        <v>0.6</v>
      </c>
      <c r="E144" s="236">
        <f>50%*E139</f>
        <v>0.16</v>
      </c>
      <c r="F144" s="236">
        <f>50%*F139</f>
        <v>0.096</v>
      </c>
      <c r="G144" s="236">
        <f>50%*G139</f>
        <v>0.0576</v>
      </c>
      <c r="H144" s="236">
        <f>50%*H139</f>
        <v>0.0576</v>
      </c>
      <c r="I144" s="236">
        <f>50%*I139</f>
        <v>0.0288</v>
      </c>
    </row>
    <row r="148" spans="2:43" s="126" customFormat="1" ht="12">
      <c r="B148" s="233" t="s">
        <v>224</v>
      </c>
      <c r="C148" s="234" t="s">
        <v>88</v>
      </c>
      <c r="D148" s="112">
        <v>1</v>
      </c>
      <c r="E148" s="112">
        <v>2</v>
      </c>
      <c r="F148" s="112">
        <v>3</v>
      </c>
      <c r="G148" s="112">
        <v>4</v>
      </c>
      <c r="H148" s="112">
        <v>5</v>
      </c>
      <c r="I148" s="112">
        <v>6</v>
      </c>
      <c r="J148" s="112">
        <v>7</v>
      </c>
      <c r="K148" s="112">
        <v>8</v>
      </c>
      <c r="L148" s="112">
        <v>9</v>
      </c>
      <c r="M148" s="112">
        <v>10</v>
      </c>
      <c r="N148" s="112">
        <v>11</v>
      </c>
      <c r="O148" s="112">
        <v>12</v>
      </c>
      <c r="P148" s="112">
        <v>13</v>
      </c>
      <c r="Q148" s="112">
        <v>14</v>
      </c>
      <c r="R148" s="112">
        <v>15</v>
      </c>
      <c r="S148" s="112">
        <v>16</v>
      </c>
      <c r="T148" s="112">
        <v>17</v>
      </c>
      <c r="U148" s="112">
        <v>18</v>
      </c>
      <c r="V148" s="112">
        <v>19</v>
      </c>
      <c r="W148" s="112">
        <v>20</v>
      </c>
      <c r="X148" s="112">
        <v>21</v>
      </c>
      <c r="Y148" s="112">
        <v>22</v>
      </c>
      <c r="Z148" s="112">
        <v>23</v>
      </c>
      <c r="AA148" s="112">
        <v>24</v>
      </c>
      <c r="AB148" s="112">
        <v>25</v>
      </c>
      <c r="AC148" s="112">
        <v>26</v>
      </c>
      <c r="AD148" s="112">
        <v>27</v>
      </c>
      <c r="AE148" s="112">
        <v>28</v>
      </c>
      <c r="AF148" s="112">
        <v>29</v>
      </c>
      <c r="AG148" s="112">
        <v>30</v>
      </c>
      <c r="AH148" s="112">
        <v>31</v>
      </c>
      <c r="AI148" s="112">
        <v>32</v>
      </c>
      <c r="AJ148" s="112">
        <v>33</v>
      </c>
      <c r="AK148" s="112">
        <v>34</v>
      </c>
      <c r="AL148" s="112">
        <v>35</v>
      </c>
      <c r="AM148" s="112">
        <v>36</v>
      </c>
      <c r="AN148" s="112">
        <v>37</v>
      </c>
      <c r="AO148" s="112">
        <v>38</v>
      </c>
      <c r="AP148" s="112">
        <v>39</v>
      </c>
      <c r="AQ148" s="112">
        <v>40</v>
      </c>
    </row>
    <row r="149" spans="2:23" s="322" customFormat="1" ht="12">
      <c r="B149" s="320" t="s">
        <v>226</v>
      </c>
      <c r="C149" s="321"/>
      <c r="D149" s="322">
        <f aca="true" t="shared" si="48" ref="D149:W149">D35</f>
        <v>68.85257449662903</v>
      </c>
      <c r="E149" s="322">
        <f t="shared" si="48"/>
        <v>69.54110024159532</v>
      </c>
      <c r="F149" s="322">
        <f t="shared" si="48"/>
        <v>70.23651124401127</v>
      </c>
      <c r="G149" s="322">
        <f t="shared" si="48"/>
        <v>70.93887635645139</v>
      </c>
      <c r="H149" s="322">
        <f t="shared" si="48"/>
        <v>71.6482651200159</v>
      </c>
      <c r="I149" s="322">
        <f t="shared" si="48"/>
        <v>72.36474777121607</v>
      </c>
      <c r="J149" s="322">
        <f t="shared" si="48"/>
        <v>73.08839524892824</v>
      </c>
      <c r="K149" s="322">
        <f t="shared" si="48"/>
        <v>73.81927920141752</v>
      </c>
      <c r="L149" s="322">
        <f t="shared" si="48"/>
        <v>74.55747199343169</v>
      </c>
      <c r="M149" s="322">
        <f t="shared" si="48"/>
        <v>75.303046713366</v>
      </c>
      <c r="N149" s="322">
        <f t="shared" si="48"/>
        <v>76.05607718049966</v>
      </c>
      <c r="O149" s="322">
        <f t="shared" si="48"/>
        <v>76.81663795230466</v>
      </c>
      <c r="P149" s="322">
        <f t="shared" si="48"/>
        <v>77.58480433182771</v>
      </c>
      <c r="Q149" s="322">
        <f t="shared" si="48"/>
        <v>78.36065237514599</v>
      </c>
      <c r="R149" s="322">
        <f t="shared" si="48"/>
        <v>79.14425889889745</v>
      </c>
      <c r="S149" s="322">
        <f t="shared" si="48"/>
        <v>79.93570148788642</v>
      </c>
      <c r="T149" s="322">
        <f t="shared" si="48"/>
        <v>80.73505850276528</v>
      </c>
      <c r="U149" s="322">
        <f t="shared" si="48"/>
        <v>81.54240908779293</v>
      </c>
      <c r="V149" s="322">
        <f t="shared" si="48"/>
        <v>82.35783317867086</v>
      </c>
      <c r="W149" s="322">
        <f t="shared" si="48"/>
        <v>83.18141151045756</v>
      </c>
    </row>
    <row r="150" spans="2:23" s="119" customFormat="1" ht="12">
      <c r="B150" s="119" t="s">
        <v>225</v>
      </c>
      <c r="D150" s="119">
        <f aca="true" t="shared" si="49" ref="D150:W150">D93</f>
        <v>173.1750695303965</v>
      </c>
      <c r="E150" s="119">
        <f t="shared" si="49"/>
        <v>173.1750695303965</v>
      </c>
      <c r="F150" s="119">
        <f t="shared" si="49"/>
        <v>173.1750695303965</v>
      </c>
      <c r="G150" s="119">
        <f t="shared" si="49"/>
        <v>173.1750695303965</v>
      </c>
      <c r="H150" s="119">
        <f t="shared" si="49"/>
        <v>173.1750695303965</v>
      </c>
      <c r="I150" s="119">
        <f t="shared" si="49"/>
        <v>173.1750695303965</v>
      </c>
      <c r="J150" s="119">
        <f t="shared" si="49"/>
        <v>173.1750695303965</v>
      </c>
      <c r="K150" s="119">
        <f t="shared" si="49"/>
        <v>173.1750695303965</v>
      </c>
      <c r="L150" s="119">
        <f t="shared" si="49"/>
        <v>173.1750695303965</v>
      </c>
      <c r="M150" s="119">
        <f t="shared" si="49"/>
        <v>173.1750695303965</v>
      </c>
      <c r="N150" s="119">
        <f t="shared" si="49"/>
        <v>173.1750695303965</v>
      </c>
      <c r="O150" s="119">
        <f t="shared" si="49"/>
        <v>173.1750695303965</v>
      </c>
      <c r="P150" s="119">
        <f t="shared" si="49"/>
        <v>173.1750695303965</v>
      </c>
      <c r="Q150" s="119">
        <f t="shared" si="49"/>
        <v>173.1750695303965</v>
      </c>
      <c r="R150" s="119">
        <f t="shared" si="49"/>
        <v>173.1750695303965</v>
      </c>
      <c r="S150" s="119">
        <f t="shared" si="49"/>
        <v>173.1750695303965</v>
      </c>
      <c r="T150" s="119">
        <f t="shared" si="49"/>
        <v>173.1750695303965</v>
      </c>
      <c r="U150" s="119">
        <f t="shared" si="49"/>
        <v>173.1750695303965</v>
      </c>
      <c r="V150" s="119">
        <f t="shared" si="49"/>
        <v>173.1750695303965</v>
      </c>
      <c r="W150" s="119">
        <f t="shared" si="49"/>
        <v>173.1750695303965</v>
      </c>
    </row>
    <row r="151" spans="3:4" ht="12">
      <c r="C151" s="155"/>
      <c r="D151" s="155"/>
    </row>
    <row r="152" ht="12">
      <c r="D152" s="237"/>
    </row>
    <row r="157" spans="3:24" ht="12"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</row>
    <row r="158" spans="4:24" ht="12"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</row>
    <row r="159" spans="3:24" ht="12"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</row>
  </sheetData>
  <sheetProtection/>
  <mergeCells count="1">
    <mergeCell ref="B2:C2"/>
  </mergeCells>
  <printOptions/>
  <pageMargins left="0.25" right="0.25" top="0.25" bottom="0.25" header="0.25" footer="0.25"/>
  <pageSetup fitToWidth="3" fitToHeight="1" horizontalDpi="600" verticalDpi="600" orientation="portrait" scale="36"/>
  <headerFooter alignWithMargins="0">
    <oddFooter>&amp;R&amp;"Arial,Bold Italic"CONFIDENTIAL</oddFooter>
  </headerFooter>
  <colBreaks count="1" manualBreakCount="1">
    <brk id="14" max="10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0" tint="-0.24997000396251678"/>
  </sheetPr>
  <dimension ref="B2:BG158"/>
  <sheetViews>
    <sheetView zoomScale="80" zoomScaleNormal="80" workbookViewId="0" topLeftCell="A61">
      <selection activeCell="A93" sqref="A93"/>
    </sheetView>
  </sheetViews>
  <sheetFormatPr defaultColWidth="9.140625" defaultRowHeight="12.75"/>
  <cols>
    <col min="1" max="1" width="9.140625" style="13" customWidth="1"/>
    <col min="2" max="2" width="33.8515625" style="13" customWidth="1"/>
    <col min="3" max="3" width="15.28125" style="13" customWidth="1"/>
    <col min="4" max="4" width="15.7109375" style="13" customWidth="1"/>
    <col min="5" max="5" width="14.28125" style="13" customWidth="1"/>
    <col min="6" max="6" width="16.421875" style="13" bestFit="1" customWidth="1"/>
    <col min="7" max="7" width="14.8515625" style="13" bestFit="1" customWidth="1"/>
    <col min="8" max="8" width="14.421875" style="13" customWidth="1"/>
    <col min="9" max="9" width="15.00390625" style="13" bestFit="1" customWidth="1"/>
    <col min="10" max="10" width="14.140625" style="13" customWidth="1"/>
    <col min="11" max="23" width="15.28125" style="13" bestFit="1" customWidth="1"/>
    <col min="24" max="43" width="15.140625" style="13" customWidth="1"/>
    <col min="44" max="44" width="35.8515625" style="13" customWidth="1"/>
    <col min="45" max="45" width="11.140625" style="13" bestFit="1" customWidth="1"/>
    <col min="46" max="46" width="11.421875" style="13" customWidth="1"/>
    <col min="47" max="47" width="10.421875" style="13" customWidth="1"/>
    <col min="48" max="48" width="9.140625" style="13" customWidth="1"/>
    <col min="49" max="49" width="12.7109375" style="13" customWidth="1"/>
    <col min="50" max="50" width="9.8515625" style="13" customWidth="1"/>
    <col min="51" max="51" width="10.00390625" style="13" bestFit="1" customWidth="1"/>
    <col min="52" max="52" width="16.421875" style="13" bestFit="1" customWidth="1"/>
    <col min="53" max="56" width="9.140625" style="13" customWidth="1"/>
    <col min="57" max="57" width="11.8515625" style="13" customWidth="1"/>
    <col min="58" max="59" width="9.28125" style="13" bestFit="1" customWidth="1"/>
    <col min="60" max="16384" width="9.140625" style="13" customWidth="1"/>
  </cols>
  <sheetData>
    <row r="2" spans="2:8" ht="18">
      <c r="B2" s="566" t="str">
        <f>Purchase!B2</f>
        <v>16750 W. Ancona Avenue, Old Mill Creek, Illinois (West Property)</v>
      </c>
      <c r="C2" s="539"/>
      <c r="G2" s="114"/>
      <c r="H2" s="114"/>
    </row>
    <row r="3" ht="12">
      <c r="B3" s="115" t="s">
        <v>10</v>
      </c>
    </row>
    <row r="4" spans="7:9" ht="12">
      <c r="G4" s="116"/>
      <c r="I4" s="117"/>
    </row>
    <row r="5" ht="12">
      <c r="I5" s="117"/>
    </row>
    <row r="6" spans="2:18" ht="12.75" thickBot="1">
      <c r="B6" s="103" t="s">
        <v>0</v>
      </c>
      <c r="C6" s="112"/>
      <c r="E6" s="103" t="s">
        <v>12</v>
      </c>
      <c r="F6" s="112"/>
      <c r="G6" s="112"/>
      <c r="H6" s="112"/>
      <c r="I6" s="118"/>
      <c r="J6" s="112" t="s">
        <v>150</v>
      </c>
      <c r="K6" s="112"/>
      <c r="L6" s="112"/>
      <c r="M6" s="112"/>
      <c r="O6" s="103" t="s">
        <v>22</v>
      </c>
      <c r="P6" s="112"/>
      <c r="Q6" s="112"/>
      <c r="R6" s="112"/>
    </row>
    <row r="7" spans="2:18" ht="12.75" thickBot="1">
      <c r="B7" s="13" t="s">
        <v>122</v>
      </c>
      <c r="C7" s="119">
        <f>Purchase!C7</f>
        <v>3</v>
      </c>
      <c r="E7" s="13" t="s">
        <v>13</v>
      </c>
      <c r="H7" s="113">
        <f>Overview!P8</f>
        <v>0.35</v>
      </c>
      <c r="I7" s="120"/>
      <c r="J7" s="113" t="s">
        <v>149</v>
      </c>
      <c r="K7" s="113"/>
      <c r="L7" s="113"/>
      <c r="M7" s="121">
        <f>SUM(Overview!N23:N25)+SUM(Overview!Q23:Q25)</f>
        <v>0</v>
      </c>
      <c r="O7" s="122" t="s">
        <v>26</v>
      </c>
      <c r="P7" s="123"/>
      <c r="Q7" s="123"/>
      <c r="R7" s="124">
        <f>-PMT(H21,C17,NPV(H21,D35:AQ35)+C35)/1000</f>
        <v>0.07392780119038489</v>
      </c>
    </row>
    <row r="8" spans="2:18" ht="12">
      <c r="B8" s="13" t="s">
        <v>130</v>
      </c>
      <c r="C8" s="125">
        <f>Purchase!C8</f>
        <v>0.5809525862068965</v>
      </c>
      <c r="D8" s="119"/>
      <c r="E8" s="13" t="s">
        <v>14</v>
      </c>
      <c r="H8" s="113">
        <f>Overview!P9</f>
        <v>0.0575</v>
      </c>
      <c r="I8" s="120"/>
      <c r="J8" s="113" t="s">
        <v>153</v>
      </c>
      <c r="K8" s="113"/>
      <c r="L8" s="113"/>
      <c r="M8" s="121">
        <f>Overview!M27*Overview!N27</f>
        <v>100</v>
      </c>
      <c r="O8" s="126" t="s">
        <v>24</v>
      </c>
      <c r="P8" s="12"/>
      <c r="Q8" s="12"/>
      <c r="R8" s="184">
        <f>NPV(H20,D59:AQ59)+C59</f>
        <v>87.9573287190139</v>
      </c>
    </row>
    <row r="9" spans="2:13" ht="12.75" customHeight="1">
      <c r="B9" s="13" t="s">
        <v>111</v>
      </c>
      <c r="C9" s="127">
        <f>Purchase!C9</f>
        <v>0</v>
      </c>
      <c r="E9" s="33" t="s">
        <v>15</v>
      </c>
      <c r="F9" s="33"/>
      <c r="G9" s="33"/>
      <c r="H9" s="128">
        <f>H7+H8*(1-H7)</f>
        <v>0.38737499999999997</v>
      </c>
      <c r="I9" s="129"/>
      <c r="J9" s="113" t="s">
        <v>154</v>
      </c>
      <c r="K9" s="113"/>
      <c r="L9" s="113"/>
      <c r="M9" s="121">
        <f>Overview!M28*Overview!N28</f>
        <v>100</v>
      </c>
    </row>
    <row r="10" spans="2:13" ht="12">
      <c r="B10" s="130" t="s">
        <v>1</v>
      </c>
      <c r="C10" s="131">
        <f>Purchase!C10</f>
        <v>1742857.7586206894</v>
      </c>
      <c r="E10" s="33" t="s">
        <v>116</v>
      </c>
      <c r="F10" s="33"/>
      <c r="G10" s="33"/>
      <c r="H10" s="132">
        <f>Overview!P10</f>
        <v>0.3</v>
      </c>
      <c r="I10" s="133"/>
      <c r="J10" s="113" t="s">
        <v>155</v>
      </c>
      <c r="K10" s="113"/>
      <c r="L10" s="113"/>
      <c r="M10" s="121">
        <f>Overview!M29*Overview!N29</f>
        <v>100</v>
      </c>
    </row>
    <row r="11" spans="5:21" ht="12">
      <c r="E11" s="33" t="s">
        <v>3</v>
      </c>
      <c r="F11" s="33"/>
      <c r="G11" s="33"/>
      <c r="H11" s="132">
        <f>0.5*H10</f>
        <v>0.15</v>
      </c>
      <c r="I11" s="133"/>
      <c r="J11" s="113" t="s">
        <v>156</v>
      </c>
      <c r="K11" s="113"/>
      <c r="L11" s="113"/>
      <c r="M11" s="121">
        <f>Overview!M30*Overview!N30</f>
        <v>100</v>
      </c>
      <c r="U11" s="134"/>
    </row>
    <row r="12" spans="5:20" ht="12">
      <c r="E12" s="12" t="s">
        <v>87</v>
      </c>
      <c r="F12" s="33"/>
      <c r="G12" s="33"/>
      <c r="H12" s="135">
        <f>Overview!P11</f>
        <v>5</v>
      </c>
      <c r="I12" s="136"/>
      <c r="J12" s="113" t="s">
        <v>157</v>
      </c>
      <c r="K12" s="113"/>
      <c r="L12" s="113"/>
      <c r="M12" s="121">
        <f>Overview!M31*Overview!N31</f>
        <v>100</v>
      </c>
      <c r="T12" s="137"/>
    </row>
    <row r="13" spans="2:30" ht="12">
      <c r="B13" s="138" t="s">
        <v>82</v>
      </c>
      <c r="C13" s="112"/>
      <c r="E13" s="12"/>
      <c r="I13" s="117"/>
      <c r="J13" s="113" t="s">
        <v>158</v>
      </c>
      <c r="K13" s="113"/>
      <c r="L13" s="113"/>
      <c r="M13" s="121">
        <f>Overview!M32*Overview!N32</f>
        <v>0</v>
      </c>
      <c r="S13" s="139"/>
      <c r="U13" s="140"/>
      <c r="AD13" s="141"/>
    </row>
    <row r="14" spans="2:33" ht="13.5" customHeight="1">
      <c r="B14" s="33" t="s">
        <v>117</v>
      </c>
      <c r="C14" s="142">
        <f>Purchase!C14</f>
        <v>0.14607762557077628</v>
      </c>
      <c r="I14" s="117"/>
      <c r="J14" s="113" t="s">
        <v>159</v>
      </c>
      <c r="K14" s="113"/>
      <c r="L14" s="113"/>
      <c r="M14" s="121">
        <f>Overview!M33*Overview!N33</f>
        <v>0</v>
      </c>
      <c r="T14" s="137"/>
      <c r="AG14" s="114"/>
    </row>
    <row r="15" spans="2:13" ht="12">
      <c r="B15" s="33" t="s">
        <v>132</v>
      </c>
      <c r="C15" s="143">
        <f>Purchase!C15</f>
        <v>743.410167413793</v>
      </c>
      <c r="E15" s="103" t="s">
        <v>11</v>
      </c>
      <c r="F15" s="112"/>
      <c r="G15" s="112"/>
      <c r="H15" s="112"/>
      <c r="I15" s="118"/>
      <c r="J15" s="113" t="s">
        <v>160</v>
      </c>
      <c r="K15" s="113"/>
      <c r="L15" s="113"/>
      <c r="M15" s="121">
        <f>Overview!M34*Overview!N34</f>
        <v>0</v>
      </c>
    </row>
    <row r="16" spans="2:21" ht="12">
      <c r="B16" s="13" t="s">
        <v>23</v>
      </c>
      <c r="C16" s="128">
        <f>Purchase!C16</f>
        <v>0.007</v>
      </c>
      <c r="E16" s="13" t="s">
        <v>27</v>
      </c>
      <c r="H16" s="144">
        <v>0.55</v>
      </c>
      <c r="I16" s="145"/>
      <c r="J16" s="113" t="s">
        <v>161</v>
      </c>
      <c r="K16" s="113"/>
      <c r="L16" s="113"/>
      <c r="M16" s="121">
        <f>Overview!M35*Overview!N35</f>
        <v>0</v>
      </c>
      <c r="T16" s="137"/>
      <c r="U16" s="146"/>
    </row>
    <row r="17" spans="2:13" ht="12">
      <c r="B17" s="13" t="s">
        <v>48</v>
      </c>
      <c r="C17" s="116">
        <f>Purchase!C17</f>
        <v>20</v>
      </c>
      <c r="E17" s="13" t="s">
        <v>28</v>
      </c>
      <c r="H17" s="144">
        <f>1-H16</f>
        <v>0.44999999999999996</v>
      </c>
      <c r="I17" s="145"/>
      <c r="J17" s="113" t="s">
        <v>162</v>
      </c>
      <c r="K17" s="113"/>
      <c r="L17" s="113"/>
      <c r="M17" s="121">
        <f>Overview!M36*Overview!N36</f>
        <v>0</v>
      </c>
    </row>
    <row r="18" spans="5:20" ht="12">
      <c r="E18" s="13" t="s">
        <v>29</v>
      </c>
      <c r="H18" s="96">
        <f>Overview!P6</f>
        <v>0.06</v>
      </c>
      <c r="I18" s="147"/>
      <c r="J18" s="113" t="s">
        <v>163</v>
      </c>
      <c r="K18" s="113"/>
      <c r="L18" s="113"/>
      <c r="M18" s="121">
        <f>Overview!P27*Overview!Q27</f>
        <v>0</v>
      </c>
      <c r="T18" s="137"/>
    </row>
    <row r="19" spans="2:13" ht="12">
      <c r="B19" s="103" t="s">
        <v>9</v>
      </c>
      <c r="C19" s="112"/>
      <c r="E19" s="126" t="s">
        <v>30</v>
      </c>
      <c r="F19" s="126"/>
      <c r="G19" s="126"/>
      <c r="H19" s="148">
        <f>Overview!P7</f>
        <v>20</v>
      </c>
      <c r="I19" s="149"/>
      <c r="J19" s="113" t="s">
        <v>164</v>
      </c>
      <c r="K19" s="113"/>
      <c r="L19" s="113"/>
      <c r="M19" s="121">
        <f>Overview!P28*Overview!Q28</f>
        <v>0</v>
      </c>
    </row>
    <row r="20" spans="2:50" ht="12">
      <c r="B20" s="13" t="s">
        <v>36</v>
      </c>
      <c r="C20" s="119">
        <f>Purchase!C20</f>
        <v>25</v>
      </c>
      <c r="E20" s="12" t="s">
        <v>25</v>
      </c>
      <c r="F20" s="12"/>
      <c r="G20" s="12"/>
      <c r="H20" s="150">
        <v>0.1075</v>
      </c>
      <c r="I20" s="151"/>
      <c r="J20" s="113" t="s">
        <v>165</v>
      </c>
      <c r="K20" s="113"/>
      <c r="L20" s="113"/>
      <c r="M20" s="121">
        <f>Overview!P29*Overview!Q29</f>
        <v>0</v>
      </c>
      <c r="AX20" s="152"/>
    </row>
    <row r="21" spans="2:52" ht="12">
      <c r="B21" s="13" t="s">
        <v>37</v>
      </c>
      <c r="C21" s="113">
        <f>Purchase!C21</f>
        <v>0.02</v>
      </c>
      <c r="E21" s="12" t="s">
        <v>31</v>
      </c>
      <c r="H21" s="319">
        <f>(H16*H18)+(H17*H20)</f>
        <v>0.081375</v>
      </c>
      <c r="I21" s="113"/>
      <c r="J21" s="113" t="s">
        <v>166</v>
      </c>
      <c r="K21" s="113"/>
      <c r="L21" s="113"/>
      <c r="M21" s="121">
        <f>Overview!P30*Overview!Q30</f>
        <v>0</v>
      </c>
      <c r="AX21" s="153"/>
      <c r="AY21" s="153"/>
      <c r="AZ21" s="153"/>
    </row>
    <row r="22" spans="2:13" ht="12">
      <c r="B22" s="13" t="s">
        <v>40</v>
      </c>
      <c r="C22" s="119">
        <f>Purchase!C22</f>
        <v>0.25</v>
      </c>
      <c r="E22" s="12" t="s">
        <v>66</v>
      </c>
      <c r="F22" s="126"/>
      <c r="G22" s="126"/>
      <c r="H22" s="154">
        <v>0.038</v>
      </c>
      <c r="I22" s="154"/>
      <c r="J22" s="113" t="s">
        <v>167</v>
      </c>
      <c r="K22" s="113"/>
      <c r="L22" s="113"/>
      <c r="M22" s="121">
        <f>Overview!P31*Overview!Q31</f>
        <v>0</v>
      </c>
    </row>
    <row r="23" spans="2:13" ht="12">
      <c r="B23" s="126" t="str">
        <f>""&amp;C25&amp;"yr"&amp;" inverter replacement cost"</f>
        <v>10yr inverter replacement cost</v>
      </c>
      <c r="C23" s="157">
        <f>Purchase!C23</f>
        <v>145238.14655172412</v>
      </c>
      <c r="E23" s="13" t="s">
        <v>128</v>
      </c>
      <c r="H23" s="156">
        <f>Overview!P19</f>
        <v>0.01</v>
      </c>
      <c r="I23" s="156"/>
      <c r="J23" s="113" t="s">
        <v>168</v>
      </c>
      <c r="K23" s="113"/>
      <c r="L23" s="113"/>
      <c r="M23" s="121">
        <f>Overview!P32*Overview!Q32</f>
        <v>0</v>
      </c>
    </row>
    <row r="24" spans="2:13" ht="12">
      <c r="B24" s="126" t="s">
        <v>126</v>
      </c>
      <c r="C24" s="157">
        <f>Purchase!C24</f>
        <v>14523.814655172411</v>
      </c>
      <c r="H24" s="157"/>
      <c r="I24" s="157"/>
      <c r="J24" s="113" t="s">
        <v>169</v>
      </c>
      <c r="K24" s="113"/>
      <c r="L24" s="113"/>
      <c r="M24" s="121">
        <f>Overview!P33*Overview!Q33</f>
        <v>0</v>
      </c>
    </row>
    <row r="25" spans="2:13" ht="12">
      <c r="B25" s="13" t="s">
        <v>38</v>
      </c>
      <c r="C25" s="337">
        <f>Purchase!C25</f>
        <v>10</v>
      </c>
      <c r="E25" s="158" t="s">
        <v>32</v>
      </c>
      <c r="F25" s="159"/>
      <c r="G25" s="159"/>
      <c r="H25" s="131">
        <f>(H16*C10)-H24</f>
        <v>958571.7672413792</v>
      </c>
      <c r="I25" s="160"/>
      <c r="J25" s="113" t="s">
        <v>170</v>
      </c>
      <c r="K25" s="113"/>
      <c r="L25" s="113"/>
      <c r="M25" s="121">
        <f>Overview!P34*Overview!Q34</f>
        <v>0</v>
      </c>
    </row>
    <row r="26" spans="2:13" ht="14.25" customHeight="1">
      <c r="B26" s="13" t="s">
        <v>41</v>
      </c>
      <c r="C26" s="119">
        <f>Purchase!C26</f>
        <v>25</v>
      </c>
      <c r="E26" s="158" t="s">
        <v>33</v>
      </c>
      <c r="F26" s="159"/>
      <c r="G26" s="159"/>
      <c r="H26" s="131">
        <f>H17*C10</f>
        <v>784285.9913793101</v>
      </c>
      <c r="I26" s="161"/>
      <c r="J26" s="113" t="s">
        <v>171</v>
      </c>
      <c r="K26" s="113"/>
      <c r="L26" s="113"/>
      <c r="M26" s="121">
        <f>Overview!P35*Overview!Q35</f>
        <v>0</v>
      </c>
    </row>
    <row r="27" spans="2:13" ht="12">
      <c r="B27" s="13" t="s">
        <v>39</v>
      </c>
      <c r="C27" s="113">
        <f>Purchase!C27</f>
        <v>0.02</v>
      </c>
      <c r="J27" s="113" t="s">
        <v>172</v>
      </c>
      <c r="K27" s="113"/>
      <c r="L27" s="113"/>
      <c r="M27" s="121">
        <f>Overview!P36*Overview!Q36</f>
        <v>0</v>
      </c>
    </row>
    <row r="28" spans="3:7" ht="12">
      <c r="C28" s="162"/>
      <c r="G28" s="114"/>
    </row>
    <row r="29" spans="3:13" ht="12">
      <c r="C29" s="113"/>
      <c r="E29" s="33"/>
      <c r="F29" s="33"/>
      <c r="G29" s="174"/>
      <c r="H29" s="163"/>
      <c r="I29" s="33"/>
      <c r="J29" s="164"/>
      <c r="K29" s="164"/>
      <c r="L29" s="165"/>
      <c r="M29" s="166"/>
    </row>
    <row r="30" spans="2:12" ht="12">
      <c r="B30" s="37"/>
      <c r="C30" s="33"/>
      <c r="E30" s="33"/>
      <c r="F30" s="33"/>
      <c r="G30" s="33"/>
      <c r="H30" s="33"/>
      <c r="I30" s="33"/>
      <c r="J30" s="114"/>
      <c r="K30" s="167"/>
      <c r="L30" s="139"/>
    </row>
    <row r="31" spans="2:45" ht="12">
      <c r="B31" s="168" t="s">
        <v>4</v>
      </c>
      <c r="C31" s="168">
        <v>0</v>
      </c>
      <c r="D31" s="168">
        <v>1</v>
      </c>
      <c r="E31" s="168">
        <v>2</v>
      </c>
      <c r="F31" s="168">
        <v>3</v>
      </c>
      <c r="G31" s="168">
        <v>4</v>
      </c>
      <c r="H31" s="168">
        <v>5</v>
      </c>
      <c r="I31" s="168">
        <v>6</v>
      </c>
      <c r="J31" s="168">
        <v>7</v>
      </c>
      <c r="K31" s="168">
        <v>8</v>
      </c>
      <c r="L31" s="168">
        <v>9</v>
      </c>
      <c r="M31" s="168">
        <v>10</v>
      </c>
      <c r="N31" s="168">
        <v>11</v>
      </c>
      <c r="O31" s="168">
        <v>12</v>
      </c>
      <c r="P31" s="168">
        <v>13</v>
      </c>
      <c r="Q31" s="168">
        <v>14</v>
      </c>
      <c r="R31" s="168">
        <v>15</v>
      </c>
      <c r="S31" s="168">
        <v>16</v>
      </c>
      <c r="T31" s="168">
        <v>17</v>
      </c>
      <c r="U31" s="168">
        <v>18</v>
      </c>
      <c r="V31" s="168">
        <v>19</v>
      </c>
      <c r="W31" s="168">
        <v>20</v>
      </c>
      <c r="X31" s="168">
        <v>21</v>
      </c>
      <c r="Y31" s="168">
        <v>22</v>
      </c>
      <c r="Z31" s="168">
        <v>23</v>
      </c>
      <c r="AA31" s="168">
        <v>24</v>
      </c>
      <c r="AB31" s="168">
        <v>25</v>
      </c>
      <c r="AC31" s="168">
        <v>26</v>
      </c>
      <c r="AD31" s="168">
        <v>27</v>
      </c>
      <c r="AE31" s="168">
        <v>28</v>
      </c>
      <c r="AF31" s="168">
        <v>29</v>
      </c>
      <c r="AG31" s="168">
        <v>30</v>
      </c>
      <c r="AH31" s="168">
        <v>31</v>
      </c>
      <c r="AI31" s="168">
        <v>32</v>
      </c>
      <c r="AJ31" s="168">
        <v>33</v>
      </c>
      <c r="AK31" s="168">
        <v>34</v>
      </c>
      <c r="AL31" s="168">
        <v>35</v>
      </c>
      <c r="AM31" s="168">
        <v>36</v>
      </c>
      <c r="AN31" s="168">
        <v>37</v>
      </c>
      <c r="AO31" s="168">
        <v>38</v>
      </c>
      <c r="AP31" s="168">
        <v>39</v>
      </c>
      <c r="AQ31" s="168">
        <v>40</v>
      </c>
      <c r="AR31" s="169" t="s">
        <v>86</v>
      </c>
      <c r="AS31" s="170" t="s">
        <v>85</v>
      </c>
    </row>
    <row r="32" spans="2:45" ht="12">
      <c r="B32" s="1"/>
      <c r="C32" s="1"/>
      <c r="AR32" s="33"/>
      <c r="AS32" s="33"/>
    </row>
    <row r="33" spans="2:52" ht="12">
      <c r="B33" s="1" t="s">
        <v>131</v>
      </c>
      <c r="C33" s="1"/>
      <c r="D33" s="10">
        <f>C15</f>
        <v>743.410167413793</v>
      </c>
      <c r="E33" s="10">
        <f>IF($C$17&gt;=E31,D33*(1-$C$16),0)</f>
        <v>738.2062962418964</v>
      </c>
      <c r="F33" s="10">
        <f aca="true" t="shared" si="0" ref="F33:AQ33">IF($C$17&gt;=F31,E33*(1-$C$16),0)</f>
        <v>733.0388521682031</v>
      </c>
      <c r="G33" s="10">
        <f t="shared" si="0"/>
        <v>727.9075802030256</v>
      </c>
      <c r="H33" s="10">
        <f t="shared" si="0"/>
        <v>722.8122271416045</v>
      </c>
      <c r="I33" s="10">
        <f>IF($C$17&gt;=I31,H33*(1-$C$16),0)</f>
        <v>717.7525415516133</v>
      </c>
      <c r="J33" s="10">
        <f t="shared" si="0"/>
        <v>712.728273760752</v>
      </c>
      <c r="K33" s="10">
        <f t="shared" si="0"/>
        <v>707.7391758444268</v>
      </c>
      <c r="L33" s="10">
        <f t="shared" si="0"/>
        <v>702.7850016135158</v>
      </c>
      <c r="M33" s="10">
        <f t="shared" si="0"/>
        <v>697.8655066022211</v>
      </c>
      <c r="N33" s="10">
        <f t="shared" si="0"/>
        <v>692.9804480560056</v>
      </c>
      <c r="O33" s="10">
        <f t="shared" si="0"/>
        <v>688.1295849196135</v>
      </c>
      <c r="P33" s="10">
        <f t="shared" si="0"/>
        <v>683.3126778251763</v>
      </c>
      <c r="Q33" s="10">
        <f t="shared" si="0"/>
        <v>678.5294890804</v>
      </c>
      <c r="R33" s="10">
        <f t="shared" si="0"/>
        <v>673.7797826568373</v>
      </c>
      <c r="S33" s="10">
        <f t="shared" si="0"/>
        <v>669.0633241782394</v>
      </c>
      <c r="T33" s="10">
        <f t="shared" si="0"/>
        <v>664.3798809089917</v>
      </c>
      <c r="U33" s="10">
        <f t="shared" si="0"/>
        <v>659.7292217426287</v>
      </c>
      <c r="V33" s="10">
        <f t="shared" si="0"/>
        <v>655.1111171904304</v>
      </c>
      <c r="W33" s="10">
        <f t="shared" si="0"/>
        <v>650.5253393700974</v>
      </c>
      <c r="X33" s="10">
        <f t="shared" si="0"/>
        <v>0</v>
      </c>
      <c r="Y33" s="10">
        <f t="shared" si="0"/>
        <v>0</v>
      </c>
      <c r="Z33" s="10">
        <f t="shared" si="0"/>
        <v>0</v>
      </c>
      <c r="AA33" s="10">
        <f t="shared" si="0"/>
        <v>0</v>
      </c>
      <c r="AB33" s="10">
        <f t="shared" si="0"/>
        <v>0</v>
      </c>
      <c r="AC33" s="10">
        <f t="shared" si="0"/>
        <v>0</v>
      </c>
      <c r="AD33" s="10">
        <f t="shared" si="0"/>
        <v>0</v>
      </c>
      <c r="AE33" s="10">
        <f t="shared" si="0"/>
        <v>0</v>
      </c>
      <c r="AF33" s="10">
        <f t="shared" si="0"/>
        <v>0</v>
      </c>
      <c r="AG33" s="10">
        <f t="shared" si="0"/>
        <v>0</v>
      </c>
      <c r="AH33" s="10">
        <f t="shared" si="0"/>
        <v>0</v>
      </c>
      <c r="AI33" s="10">
        <f t="shared" si="0"/>
        <v>0</v>
      </c>
      <c r="AJ33" s="10">
        <f t="shared" si="0"/>
        <v>0</v>
      </c>
      <c r="AK33" s="10">
        <f t="shared" si="0"/>
        <v>0</v>
      </c>
      <c r="AL33" s="10">
        <f t="shared" si="0"/>
        <v>0</v>
      </c>
      <c r="AM33" s="10">
        <f t="shared" si="0"/>
        <v>0</v>
      </c>
      <c r="AN33" s="10">
        <f t="shared" si="0"/>
        <v>0</v>
      </c>
      <c r="AO33" s="10">
        <f t="shared" si="0"/>
        <v>0</v>
      </c>
      <c r="AP33" s="10">
        <f t="shared" si="0"/>
        <v>0</v>
      </c>
      <c r="AQ33" s="10">
        <f t="shared" si="0"/>
        <v>0</v>
      </c>
      <c r="AR33" s="27" t="s">
        <v>131</v>
      </c>
      <c r="AS33" s="171">
        <f>-PMT(H20,$C$17,NPV(H20,$D33:$AQ33))</f>
        <v>711.6016103072915</v>
      </c>
      <c r="AT33" s="171"/>
      <c r="AU33" s="171"/>
      <c r="AV33" s="171"/>
      <c r="AX33" s="172"/>
      <c r="AY33" s="172"/>
      <c r="AZ33" s="172"/>
    </row>
    <row r="34" spans="3:52" s="126" customFormat="1" ht="12"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73"/>
      <c r="AS34" s="174"/>
      <c r="AT34" s="174"/>
      <c r="AU34" s="12"/>
      <c r="AV34" s="12"/>
      <c r="AX34" s="172"/>
      <c r="AY34" s="172"/>
      <c r="AZ34" s="172"/>
    </row>
    <row r="35" spans="2:52" s="126" customFormat="1" ht="12">
      <c r="B35" s="12" t="s">
        <v>174</v>
      </c>
      <c r="C35" s="175"/>
      <c r="D35" s="176">
        <f>Purchase!D35</f>
        <v>68.85257449662903</v>
      </c>
      <c r="E35" s="176">
        <f>IF(E31&lt;=$C$17,D35*(1+$H$23),0)</f>
        <v>69.54110024159532</v>
      </c>
      <c r="F35" s="176">
        <f aca="true" t="shared" si="1" ref="F35:AQ35">IF(F31&lt;=$C$17,E35*(1+$H$23),0)</f>
        <v>70.23651124401127</v>
      </c>
      <c r="G35" s="176">
        <f t="shared" si="1"/>
        <v>70.93887635645139</v>
      </c>
      <c r="H35" s="176">
        <f t="shared" si="1"/>
        <v>71.6482651200159</v>
      </c>
      <c r="I35" s="176">
        <f t="shared" si="1"/>
        <v>72.36474777121607</v>
      </c>
      <c r="J35" s="176">
        <f t="shared" si="1"/>
        <v>73.08839524892824</v>
      </c>
      <c r="K35" s="176">
        <f t="shared" si="1"/>
        <v>73.81927920141752</v>
      </c>
      <c r="L35" s="176">
        <f t="shared" si="1"/>
        <v>74.55747199343169</v>
      </c>
      <c r="M35" s="176">
        <f t="shared" si="1"/>
        <v>75.303046713366</v>
      </c>
      <c r="N35" s="176">
        <f t="shared" si="1"/>
        <v>76.05607718049966</v>
      </c>
      <c r="O35" s="176">
        <f t="shared" si="1"/>
        <v>76.81663795230466</v>
      </c>
      <c r="P35" s="176">
        <f t="shared" si="1"/>
        <v>77.58480433182771</v>
      </c>
      <c r="Q35" s="176">
        <f t="shared" si="1"/>
        <v>78.36065237514599</v>
      </c>
      <c r="R35" s="176">
        <f t="shared" si="1"/>
        <v>79.14425889889745</v>
      </c>
      <c r="S35" s="176">
        <f t="shared" si="1"/>
        <v>79.93570148788642</v>
      </c>
      <c r="T35" s="176">
        <f t="shared" si="1"/>
        <v>80.73505850276528</v>
      </c>
      <c r="U35" s="176">
        <f t="shared" si="1"/>
        <v>81.54240908779293</v>
      </c>
      <c r="V35" s="176">
        <f t="shared" si="1"/>
        <v>82.35783317867086</v>
      </c>
      <c r="W35" s="176">
        <f t="shared" si="1"/>
        <v>83.18141151045756</v>
      </c>
      <c r="X35" s="176">
        <f t="shared" si="1"/>
        <v>0</v>
      </c>
      <c r="Y35" s="176">
        <f t="shared" si="1"/>
        <v>0</v>
      </c>
      <c r="Z35" s="176">
        <f t="shared" si="1"/>
        <v>0</v>
      </c>
      <c r="AA35" s="176">
        <f t="shared" si="1"/>
        <v>0</v>
      </c>
      <c r="AB35" s="176">
        <f t="shared" si="1"/>
        <v>0</v>
      </c>
      <c r="AC35" s="176">
        <f t="shared" si="1"/>
        <v>0</v>
      </c>
      <c r="AD35" s="176">
        <f t="shared" si="1"/>
        <v>0</v>
      </c>
      <c r="AE35" s="176">
        <f t="shared" si="1"/>
        <v>0</v>
      </c>
      <c r="AF35" s="176">
        <f t="shared" si="1"/>
        <v>0</v>
      </c>
      <c r="AG35" s="176">
        <f t="shared" si="1"/>
        <v>0</v>
      </c>
      <c r="AH35" s="176">
        <f t="shared" si="1"/>
        <v>0</v>
      </c>
      <c r="AI35" s="176">
        <f t="shared" si="1"/>
        <v>0</v>
      </c>
      <c r="AJ35" s="176">
        <f t="shared" si="1"/>
        <v>0</v>
      </c>
      <c r="AK35" s="176">
        <f t="shared" si="1"/>
        <v>0</v>
      </c>
      <c r="AL35" s="176">
        <f t="shared" si="1"/>
        <v>0</v>
      </c>
      <c r="AM35" s="176">
        <f t="shared" si="1"/>
        <v>0</v>
      </c>
      <c r="AN35" s="176">
        <f t="shared" si="1"/>
        <v>0</v>
      </c>
      <c r="AO35" s="176">
        <f t="shared" si="1"/>
        <v>0</v>
      </c>
      <c r="AP35" s="176">
        <f t="shared" si="1"/>
        <v>0</v>
      </c>
      <c r="AQ35" s="176">
        <f t="shared" si="1"/>
        <v>0</v>
      </c>
      <c r="AR35" s="177" t="s">
        <v>83</v>
      </c>
      <c r="AS35" s="178">
        <f>C93</f>
        <v>72.78230292055446</v>
      </c>
      <c r="AT35" s="178"/>
      <c r="AU35" s="178"/>
      <c r="AV35" s="178"/>
      <c r="AX35" s="172"/>
      <c r="AY35" s="172"/>
      <c r="AZ35" s="172"/>
    </row>
    <row r="36" spans="2:52" ht="12">
      <c r="B36" s="33" t="s">
        <v>220</v>
      </c>
      <c r="C36" s="179"/>
      <c r="D36" s="179">
        <f>(D33*D35)+$M7+($M8*D$33)</f>
        <v>125526.72067478896</v>
      </c>
      <c r="E36" s="179">
        <f>(E33*E35)+($M9*E$33)</f>
        <v>125156.30767012417</v>
      </c>
      <c r="F36" s="179">
        <f>(F33*F35)+($M10*F$33)</f>
        <v>124789.97679942942</v>
      </c>
      <c r="G36" s="179">
        <f>(G33*G35)+($M11*G$33)</f>
        <v>124427.70385124872</v>
      </c>
      <c r="H36" s="179">
        <f>(H33*H35)+($M12*H$33)</f>
        <v>124069.46479639129</v>
      </c>
      <c r="I36" s="179">
        <f>(I33*I35)+($M13*I$33)</f>
        <v>51939.98163153178</v>
      </c>
      <c r="J36" s="179">
        <f>(J33*J35)+($M14*J$33)</f>
        <v>52092.16577771217</v>
      </c>
      <c r="K36" s="179">
        <f>(K33*K35)+($M15*K$33)</f>
        <v>52244.795823440865</v>
      </c>
      <c r="L36" s="179">
        <f>(L33*L35)+($M16*L$33)</f>
        <v>52397.87307520355</v>
      </c>
      <c r="M36" s="179">
        <f>(M33*M35)+($M17*M$33)</f>
        <v>52551.39884331389</v>
      </c>
      <c r="N36" s="179">
        <f>(N33*N35)+($M18*N$33)</f>
        <v>52705.374441924796</v>
      </c>
      <c r="O36" s="179">
        <f>(O33*O35)+($M19*O$33)</f>
        <v>52859.80118903964</v>
      </c>
      <c r="P36" s="179">
        <f>(P33*P35)+($M20*P$33)</f>
        <v>53014.68040652353</v>
      </c>
      <c r="Q36" s="179">
        <f>(Q33*Q35)+($M21*Q$33)</f>
        <v>53170.01342011464</v>
      </c>
      <c r="R36" s="179">
        <f>(R33*R35)+($M22*R$33)</f>
        <v>53325.80155943558</v>
      </c>
      <c r="S36" s="179">
        <f>(S33*S35)+($M23*S$33)</f>
        <v>53482.04615800473</v>
      </c>
      <c r="T36" s="179">
        <f>(T33*T35)+($M24*T$33)</f>
        <v>53638.74855324768</v>
      </c>
      <c r="U36" s="179">
        <f>(U33*U35)+($M25*U$33)</f>
        <v>53795.91008650869</v>
      </c>
      <c r="V36" s="179">
        <f>(V33*V35)+($M26*V$33)</f>
        <v>53953.53210306216</v>
      </c>
      <c r="W36" s="179">
        <f>(W33*W35)+($M27*W$33)</f>
        <v>54111.615952124135</v>
      </c>
      <c r="X36" s="179">
        <f>(X33*X35)+($M9*X$33)</f>
        <v>0</v>
      </c>
      <c r="Y36" s="179">
        <f>(Y33*Y35)+($M9*Y$33)</f>
        <v>0</v>
      </c>
      <c r="Z36" s="179">
        <f aca="true" t="shared" si="2" ref="Z36:AQ36">(Z33*Z35)</f>
        <v>0</v>
      </c>
      <c r="AA36" s="179">
        <f t="shared" si="2"/>
        <v>0</v>
      </c>
      <c r="AB36" s="179">
        <f t="shared" si="2"/>
        <v>0</v>
      </c>
      <c r="AC36" s="179">
        <f t="shared" si="2"/>
        <v>0</v>
      </c>
      <c r="AD36" s="179">
        <f t="shared" si="2"/>
        <v>0</v>
      </c>
      <c r="AE36" s="179">
        <f t="shared" si="2"/>
        <v>0</v>
      </c>
      <c r="AF36" s="179">
        <f t="shared" si="2"/>
        <v>0</v>
      </c>
      <c r="AG36" s="179">
        <f t="shared" si="2"/>
        <v>0</v>
      </c>
      <c r="AH36" s="179">
        <f t="shared" si="2"/>
        <v>0</v>
      </c>
      <c r="AI36" s="179">
        <f t="shared" si="2"/>
        <v>0</v>
      </c>
      <c r="AJ36" s="179">
        <f t="shared" si="2"/>
        <v>0</v>
      </c>
      <c r="AK36" s="179">
        <f t="shared" si="2"/>
        <v>0</v>
      </c>
      <c r="AL36" s="179">
        <f t="shared" si="2"/>
        <v>0</v>
      </c>
      <c r="AM36" s="179">
        <f t="shared" si="2"/>
        <v>0</v>
      </c>
      <c r="AN36" s="179">
        <f t="shared" si="2"/>
        <v>0</v>
      </c>
      <c r="AO36" s="179">
        <f t="shared" si="2"/>
        <v>0</v>
      </c>
      <c r="AP36" s="179">
        <f t="shared" si="2"/>
        <v>0</v>
      </c>
      <c r="AQ36" s="179">
        <f t="shared" si="2"/>
        <v>0</v>
      </c>
      <c r="AR36" s="180" t="s">
        <v>84</v>
      </c>
      <c r="AS36" s="181">
        <f>-PMT($H$20,$C$17,NPV($H$20,$D36:$AQ36)+$C36)/AS$33</f>
        <v>120.67877153574453</v>
      </c>
      <c r="AT36" s="181"/>
      <c r="AU36" s="153"/>
      <c r="AV36" s="153"/>
      <c r="AX36" s="172"/>
      <c r="AY36" s="172"/>
      <c r="AZ36" s="172"/>
    </row>
    <row r="37" spans="2:56" ht="12">
      <c r="B37" s="5" t="s">
        <v>221</v>
      </c>
      <c r="C37" s="20"/>
      <c r="D37" s="20">
        <f>D36</f>
        <v>125526.72067478896</v>
      </c>
      <c r="E37" s="20">
        <f aca="true" t="shared" si="3" ref="E37:AQ37">E36</f>
        <v>125156.30767012417</v>
      </c>
      <c r="F37" s="20">
        <f t="shared" si="3"/>
        <v>124789.97679942942</v>
      </c>
      <c r="G37" s="20">
        <f t="shared" si="3"/>
        <v>124427.70385124872</v>
      </c>
      <c r="H37" s="20">
        <f t="shared" si="3"/>
        <v>124069.46479639129</v>
      </c>
      <c r="I37" s="20">
        <f t="shared" si="3"/>
        <v>51939.98163153178</v>
      </c>
      <c r="J37" s="20">
        <f t="shared" si="3"/>
        <v>52092.16577771217</v>
      </c>
      <c r="K37" s="20">
        <f t="shared" si="3"/>
        <v>52244.795823440865</v>
      </c>
      <c r="L37" s="20">
        <f t="shared" si="3"/>
        <v>52397.87307520355</v>
      </c>
      <c r="M37" s="20">
        <f t="shared" si="3"/>
        <v>52551.39884331389</v>
      </c>
      <c r="N37" s="20">
        <f t="shared" si="3"/>
        <v>52705.374441924796</v>
      </c>
      <c r="O37" s="20">
        <f t="shared" si="3"/>
        <v>52859.80118903964</v>
      </c>
      <c r="P37" s="20">
        <f t="shared" si="3"/>
        <v>53014.68040652353</v>
      </c>
      <c r="Q37" s="20">
        <f t="shared" si="3"/>
        <v>53170.01342011464</v>
      </c>
      <c r="R37" s="20">
        <f t="shared" si="3"/>
        <v>53325.80155943558</v>
      </c>
      <c r="S37" s="20">
        <f t="shared" si="3"/>
        <v>53482.04615800473</v>
      </c>
      <c r="T37" s="20">
        <f t="shared" si="3"/>
        <v>53638.74855324768</v>
      </c>
      <c r="U37" s="20">
        <f t="shared" si="3"/>
        <v>53795.91008650869</v>
      </c>
      <c r="V37" s="20">
        <f t="shared" si="3"/>
        <v>53953.53210306216</v>
      </c>
      <c r="W37" s="20">
        <f t="shared" si="3"/>
        <v>54111.615952124135</v>
      </c>
      <c r="X37" s="20">
        <f t="shared" si="3"/>
        <v>0</v>
      </c>
      <c r="Y37" s="20">
        <f t="shared" si="3"/>
        <v>0</v>
      </c>
      <c r="Z37" s="20">
        <f t="shared" si="3"/>
        <v>0</v>
      </c>
      <c r="AA37" s="20">
        <f t="shared" si="3"/>
        <v>0</v>
      </c>
      <c r="AB37" s="20">
        <f t="shared" si="3"/>
        <v>0</v>
      </c>
      <c r="AC37" s="20">
        <f t="shared" si="3"/>
        <v>0</v>
      </c>
      <c r="AD37" s="20">
        <f t="shared" si="3"/>
        <v>0</v>
      </c>
      <c r="AE37" s="20">
        <f t="shared" si="3"/>
        <v>0</v>
      </c>
      <c r="AF37" s="20">
        <f t="shared" si="3"/>
        <v>0</v>
      </c>
      <c r="AG37" s="20">
        <f t="shared" si="3"/>
        <v>0</v>
      </c>
      <c r="AH37" s="20">
        <f t="shared" si="3"/>
        <v>0</v>
      </c>
      <c r="AI37" s="20">
        <f t="shared" si="3"/>
        <v>0</v>
      </c>
      <c r="AJ37" s="20">
        <f t="shared" si="3"/>
        <v>0</v>
      </c>
      <c r="AK37" s="20">
        <f t="shared" si="3"/>
        <v>0</v>
      </c>
      <c r="AL37" s="20">
        <f t="shared" si="3"/>
        <v>0</v>
      </c>
      <c r="AM37" s="20">
        <f t="shared" si="3"/>
        <v>0</v>
      </c>
      <c r="AN37" s="20">
        <f t="shared" si="3"/>
        <v>0</v>
      </c>
      <c r="AO37" s="20">
        <f t="shared" si="3"/>
        <v>0</v>
      </c>
      <c r="AP37" s="20">
        <f t="shared" si="3"/>
        <v>0</v>
      </c>
      <c r="AQ37" s="20">
        <f t="shared" si="3"/>
        <v>0</v>
      </c>
      <c r="AR37" s="28" t="s">
        <v>5</v>
      </c>
      <c r="AS37" s="153">
        <f>-PMT($H$20,$C$17,NPV($H$20,$D37:$AQ37)+$C37)/AS$33</f>
        <v>120.67877153574453</v>
      </c>
      <c r="AT37" s="153"/>
      <c r="AU37" s="153"/>
      <c r="AV37" s="153"/>
      <c r="AX37" s="172"/>
      <c r="AY37" s="172"/>
      <c r="AZ37" s="172"/>
      <c r="BB37" s="182"/>
      <c r="BC37" s="182"/>
      <c r="BD37" s="182"/>
    </row>
    <row r="38" spans="2:56" ht="12">
      <c r="B38" s="33"/>
      <c r="C38" s="179"/>
      <c r="D38" s="174"/>
      <c r="E38" s="179"/>
      <c r="F38" s="175"/>
      <c r="G38" s="175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80"/>
      <c r="AS38" s="153"/>
      <c r="AT38" s="153"/>
      <c r="AU38" s="153"/>
      <c r="AV38" s="153"/>
      <c r="AX38" s="172"/>
      <c r="AY38" s="172"/>
      <c r="AZ38" s="172"/>
      <c r="BB38" s="182"/>
      <c r="BC38" s="182"/>
      <c r="BD38" s="182"/>
    </row>
    <row r="39" spans="2:56" s="126" customFormat="1" ht="12">
      <c r="B39" s="33" t="s">
        <v>6</v>
      </c>
      <c r="C39" s="179"/>
      <c r="D39" s="183">
        <f aca="true" t="shared" si="4" ref="D39:AQ39">IF($C$17&gt;=D31,-$C$8*$C$20*1000)*(1+$C$21)^(D31)</f>
        <v>-14814.29094827586</v>
      </c>
      <c r="E39" s="183">
        <f t="shared" si="4"/>
        <v>-15110.576767241377</v>
      </c>
      <c r="F39" s="183">
        <f t="shared" si="4"/>
        <v>-15412.788302586203</v>
      </c>
      <c r="G39" s="183">
        <f t="shared" si="4"/>
        <v>-15721.044068637928</v>
      </c>
      <c r="H39" s="183">
        <f t="shared" si="4"/>
        <v>-16035.464950010686</v>
      </c>
      <c r="I39" s="183">
        <f t="shared" si="4"/>
        <v>-16356.1742490109</v>
      </c>
      <c r="J39" s="183">
        <f t="shared" si="4"/>
        <v>-16683.297733991116</v>
      </c>
      <c r="K39" s="183">
        <f t="shared" si="4"/>
        <v>-17016.96368867094</v>
      </c>
      <c r="L39" s="183">
        <f t="shared" si="4"/>
        <v>-17357.30296244436</v>
      </c>
      <c r="M39" s="183">
        <f t="shared" si="4"/>
        <v>-17704.449021693246</v>
      </c>
      <c r="N39" s="183">
        <f t="shared" si="4"/>
        <v>-18058.53800212711</v>
      </c>
      <c r="O39" s="183">
        <f t="shared" si="4"/>
        <v>-18419.708762169652</v>
      </c>
      <c r="P39" s="183">
        <f t="shared" si="4"/>
        <v>-18788.102937413045</v>
      </c>
      <c r="Q39" s="183">
        <f t="shared" si="4"/>
        <v>-19163.86499616131</v>
      </c>
      <c r="R39" s="183">
        <f t="shared" si="4"/>
        <v>-19547.14229608453</v>
      </c>
      <c r="S39" s="183">
        <f t="shared" si="4"/>
        <v>-19938.085142006224</v>
      </c>
      <c r="T39" s="183">
        <f t="shared" si="4"/>
        <v>-20336.84684484635</v>
      </c>
      <c r="U39" s="183">
        <f t="shared" si="4"/>
        <v>-20743.583781743273</v>
      </c>
      <c r="V39" s="183">
        <f t="shared" si="4"/>
        <v>-21158.45545737814</v>
      </c>
      <c r="W39" s="183">
        <f t="shared" si="4"/>
        <v>-21581.624566525705</v>
      </c>
      <c r="X39" s="183">
        <f t="shared" si="4"/>
        <v>0</v>
      </c>
      <c r="Y39" s="183">
        <f t="shared" si="4"/>
        <v>0</v>
      </c>
      <c r="Z39" s="183">
        <f t="shared" si="4"/>
        <v>0</v>
      </c>
      <c r="AA39" s="183">
        <f t="shared" si="4"/>
        <v>0</v>
      </c>
      <c r="AB39" s="183">
        <f t="shared" si="4"/>
        <v>0</v>
      </c>
      <c r="AC39" s="183">
        <f t="shared" si="4"/>
        <v>0</v>
      </c>
      <c r="AD39" s="183">
        <f t="shared" si="4"/>
        <v>0</v>
      </c>
      <c r="AE39" s="183">
        <f t="shared" si="4"/>
        <v>0</v>
      </c>
      <c r="AF39" s="183">
        <f t="shared" si="4"/>
        <v>0</v>
      </c>
      <c r="AG39" s="183">
        <f t="shared" si="4"/>
        <v>0</v>
      </c>
      <c r="AH39" s="183">
        <f t="shared" si="4"/>
        <v>0</v>
      </c>
      <c r="AI39" s="183">
        <f t="shared" si="4"/>
        <v>0</v>
      </c>
      <c r="AJ39" s="183">
        <f t="shared" si="4"/>
        <v>0</v>
      </c>
      <c r="AK39" s="183">
        <f t="shared" si="4"/>
        <v>0</v>
      </c>
      <c r="AL39" s="183">
        <f t="shared" si="4"/>
        <v>0</v>
      </c>
      <c r="AM39" s="183">
        <f t="shared" si="4"/>
        <v>0</v>
      </c>
      <c r="AN39" s="183">
        <f t="shared" si="4"/>
        <v>0</v>
      </c>
      <c r="AO39" s="183">
        <f t="shared" si="4"/>
        <v>0</v>
      </c>
      <c r="AP39" s="183">
        <f t="shared" si="4"/>
        <v>0</v>
      </c>
      <c r="AQ39" s="183">
        <f t="shared" si="4"/>
        <v>0</v>
      </c>
      <c r="AR39" s="180" t="s">
        <v>6</v>
      </c>
      <c r="AS39" s="153">
        <f>-PMT($H$20,$C$17,NPV($H$20,$D39:$AQ39)+$C39)/AS$33</f>
        <v>-23.723511308627113</v>
      </c>
      <c r="AT39" s="153"/>
      <c r="AU39" s="153"/>
      <c r="AV39" s="153"/>
      <c r="AX39" s="172"/>
      <c r="AY39" s="172"/>
      <c r="AZ39" s="172"/>
      <c r="BB39" s="182"/>
      <c r="BC39" s="182"/>
      <c r="BD39" s="182"/>
    </row>
    <row r="40" spans="2:56" ht="12">
      <c r="B40" s="12" t="s">
        <v>95</v>
      </c>
      <c r="C40" s="175"/>
      <c r="D40" s="184">
        <f>D112</f>
        <v>-14523.814655172411</v>
      </c>
      <c r="E40" s="184">
        <f aca="true" t="shared" si="5" ref="E40:AQ40">E112</f>
        <v>-13971.90969827586</v>
      </c>
      <c r="F40" s="184">
        <f t="shared" si="5"/>
        <v>-13420.004741379307</v>
      </c>
      <c r="G40" s="184">
        <f t="shared" si="5"/>
        <v>-12868.099784482756</v>
      </c>
      <c r="H40" s="184">
        <f t="shared" si="5"/>
        <v>-12316.194827586205</v>
      </c>
      <c r="I40" s="184">
        <f t="shared" si="5"/>
        <v>-11764.289870689652</v>
      </c>
      <c r="J40" s="184">
        <f t="shared" si="5"/>
        <v>-11212.384913793101</v>
      </c>
      <c r="K40" s="184">
        <f t="shared" si="5"/>
        <v>-10660.47995689655</v>
      </c>
      <c r="L40" s="184">
        <f t="shared" si="5"/>
        <v>-10108.574999999999</v>
      </c>
      <c r="M40" s="184">
        <f t="shared" si="5"/>
        <v>-9556.670043103448</v>
      </c>
      <c r="N40" s="184">
        <f t="shared" si="5"/>
        <v>-14523.814655172413</v>
      </c>
      <c r="O40" s="184">
        <f t="shared" si="5"/>
        <v>-13971.90969827586</v>
      </c>
      <c r="P40" s="184">
        <f t="shared" si="5"/>
        <v>-13420.004741379309</v>
      </c>
      <c r="Q40" s="184">
        <f t="shared" si="5"/>
        <v>-12868.099784482758</v>
      </c>
      <c r="R40" s="184">
        <f t="shared" si="5"/>
        <v>-12316.194827586205</v>
      </c>
      <c r="S40" s="184">
        <f t="shared" si="5"/>
        <v>-11764.289870689654</v>
      </c>
      <c r="T40" s="184">
        <f t="shared" si="5"/>
        <v>-11212.384913793103</v>
      </c>
      <c r="U40" s="184">
        <f t="shared" si="5"/>
        <v>-10660.479956896552</v>
      </c>
      <c r="V40" s="184">
        <f t="shared" si="5"/>
        <v>-10108.575</v>
      </c>
      <c r="W40" s="184">
        <f t="shared" si="5"/>
        <v>-9556.670043103506</v>
      </c>
      <c r="X40" s="184">
        <f t="shared" si="5"/>
        <v>0</v>
      </c>
      <c r="Y40" s="184">
        <f t="shared" si="5"/>
        <v>0</v>
      </c>
      <c r="Z40" s="184">
        <f t="shared" si="5"/>
        <v>0</v>
      </c>
      <c r="AA40" s="184">
        <f t="shared" si="5"/>
        <v>0</v>
      </c>
      <c r="AB40" s="184">
        <f t="shared" si="5"/>
        <v>0</v>
      </c>
      <c r="AC40" s="184">
        <f t="shared" si="5"/>
        <v>0</v>
      </c>
      <c r="AD40" s="184">
        <f t="shared" si="5"/>
        <v>0</v>
      </c>
      <c r="AE40" s="184">
        <f t="shared" si="5"/>
        <v>0</v>
      </c>
      <c r="AF40" s="184">
        <f t="shared" si="5"/>
        <v>0</v>
      </c>
      <c r="AG40" s="184">
        <f t="shared" si="5"/>
        <v>0</v>
      </c>
      <c r="AH40" s="184">
        <f t="shared" si="5"/>
        <v>0</v>
      </c>
      <c r="AI40" s="184">
        <f t="shared" si="5"/>
        <v>0</v>
      </c>
      <c r="AJ40" s="184">
        <f t="shared" si="5"/>
        <v>0</v>
      </c>
      <c r="AK40" s="184">
        <f t="shared" si="5"/>
        <v>0</v>
      </c>
      <c r="AL40" s="184">
        <f t="shared" si="5"/>
        <v>0</v>
      </c>
      <c r="AM40" s="184">
        <f t="shared" si="5"/>
        <v>0</v>
      </c>
      <c r="AN40" s="184">
        <f t="shared" si="5"/>
        <v>0</v>
      </c>
      <c r="AO40" s="184">
        <f t="shared" si="5"/>
        <v>0</v>
      </c>
      <c r="AP40" s="184">
        <f t="shared" si="5"/>
        <v>0</v>
      </c>
      <c r="AQ40" s="184">
        <f t="shared" si="5"/>
        <v>0</v>
      </c>
      <c r="AR40" s="177" t="s">
        <v>96</v>
      </c>
      <c r="AS40" s="153">
        <f>-PMT($H$20,$C$17,NPV($H$20,$D40:$AQ40)+$C40)/AS$33</f>
        <v>-17.562056889342927</v>
      </c>
      <c r="AT40" s="153"/>
      <c r="AU40" s="153"/>
      <c r="AV40" s="153"/>
      <c r="AX40" s="172"/>
      <c r="AY40" s="172"/>
      <c r="AZ40" s="172"/>
      <c r="BB40" s="182"/>
      <c r="BC40" s="182"/>
      <c r="BD40" s="182"/>
    </row>
    <row r="41" spans="2:56" ht="12">
      <c r="B41" s="12" t="s">
        <v>7</v>
      </c>
      <c r="C41" s="175"/>
      <c r="D41" s="184">
        <f aca="true" t="shared" si="6" ref="D41:AQ41">IF($C$17&gt;=D31,-$C$26*$C$8*1000*(1+$C$27)^(D31),0)</f>
        <v>-14814.29094827586</v>
      </c>
      <c r="E41" s="184">
        <f t="shared" si="6"/>
        <v>-15110.576767241377</v>
      </c>
      <c r="F41" s="184">
        <f t="shared" si="6"/>
        <v>-15412.788302586203</v>
      </c>
      <c r="G41" s="184">
        <f t="shared" si="6"/>
        <v>-15721.044068637928</v>
      </c>
      <c r="H41" s="184">
        <f t="shared" si="6"/>
        <v>-16035.464950010686</v>
      </c>
      <c r="I41" s="184">
        <f t="shared" si="6"/>
        <v>-16356.1742490109</v>
      </c>
      <c r="J41" s="184">
        <f t="shared" si="6"/>
        <v>-16683.297733991116</v>
      </c>
      <c r="K41" s="184">
        <f t="shared" si="6"/>
        <v>-17016.96368867094</v>
      </c>
      <c r="L41" s="184">
        <f t="shared" si="6"/>
        <v>-17357.30296244436</v>
      </c>
      <c r="M41" s="184">
        <f t="shared" si="6"/>
        <v>-17704.449021693246</v>
      </c>
      <c r="N41" s="184">
        <f t="shared" si="6"/>
        <v>-18058.53800212711</v>
      </c>
      <c r="O41" s="184">
        <f t="shared" si="6"/>
        <v>-18419.708762169652</v>
      </c>
      <c r="P41" s="184">
        <f t="shared" si="6"/>
        <v>-18788.102937413045</v>
      </c>
      <c r="Q41" s="184">
        <f t="shared" si="6"/>
        <v>-19163.86499616131</v>
      </c>
      <c r="R41" s="184">
        <f t="shared" si="6"/>
        <v>-19547.14229608453</v>
      </c>
      <c r="S41" s="184">
        <f t="shared" si="6"/>
        <v>-19938.085142006224</v>
      </c>
      <c r="T41" s="184">
        <f t="shared" si="6"/>
        <v>-20336.84684484635</v>
      </c>
      <c r="U41" s="184">
        <f t="shared" si="6"/>
        <v>-20743.583781743273</v>
      </c>
      <c r="V41" s="184">
        <f t="shared" si="6"/>
        <v>-21158.45545737814</v>
      </c>
      <c r="W41" s="184">
        <f t="shared" si="6"/>
        <v>-21581.624566525705</v>
      </c>
      <c r="X41" s="184">
        <f t="shared" si="6"/>
        <v>0</v>
      </c>
      <c r="Y41" s="184">
        <f t="shared" si="6"/>
        <v>0</v>
      </c>
      <c r="Z41" s="184">
        <f t="shared" si="6"/>
        <v>0</v>
      </c>
      <c r="AA41" s="184">
        <f t="shared" si="6"/>
        <v>0</v>
      </c>
      <c r="AB41" s="184">
        <f t="shared" si="6"/>
        <v>0</v>
      </c>
      <c r="AC41" s="184">
        <f t="shared" si="6"/>
        <v>0</v>
      </c>
      <c r="AD41" s="184">
        <f t="shared" si="6"/>
        <v>0</v>
      </c>
      <c r="AE41" s="184">
        <f t="shared" si="6"/>
        <v>0</v>
      </c>
      <c r="AF41" s="184">
        <f t="shared" si="6"/>
        <v>0</v>
      </c>
      <c r="AG41" s="184">
        <f t="shared" si="6"/>
        <v>0</v>
      </c>
      <c r="AH41" s="184">
        <f t="shared" si="6"/>
        <v>0</v>
      </c>
      <c r="AI41" s="184">
        <f t="shared" si="6"/>
        <v>0</v>
      </c>
      <c r="AJ41" s="184">
        <f t="shared" si="6"/>
        <v>0</v>
      </c>
      <c r="AK41" s="184">
        <f t="shared" si="6"/>
        <v>0</v>
      </c>
      <c r="AL41" s="184">
        <f t="shared" si="6"/>
        <v>0</v>
      </c>
      <c r="AM41" s="184">
        <f t="shared" si="6"/>
        <v>0</v>
      </c>
      <c r="AN41" s="184">
        <f t="shared" si="6"/>
        <v>0</v>
      </c>
      <c r="AO41" s="184">
        <f t="shared" si="6"/>
        <v>0</v>
      </c>
      <c r="AP41" s="184">
        <f t="shared" si="6"/>
        <v>0</v>
      </c>
      <c r="AQ41" s="184">
        <f t="shared" si="6"/>
        <v>0</v>
      </c>
      <c r="AR41" s="177" t="s">
        <v>7</v>
      </c>
      <c r="AS41" s="153">
        <f>-PMT($H$20,$C$17,NPV($H$20,$D41:$AQ41)+$C41)/AS$33</f>
        <v>-23.723511308627113</v>
      </c>
      <c r="AT41" s="153"/>
      <c r="AU41" s="153"/>
      <c r="AV41" s="153"/>
      <c r="AX41" s="172"/>
      <c r="AY41" s="172"/>
      <c r="AZ41" s="172"/>
      <c r="BB41" s="182"/>
      <c r="BC41" s="182"/>
      <c r="BD41" s="182"/>
    </row>
    <row r="42" spans="2:56" ht="12">
      <c r="B42" s="9" t="s">
        <v>8</v>
      </c>
      <c r="C42" s="23"/>
      <c r="D42" s="23">
        <f aca="true" t="shared" si="7" ref="D42:W42">SUM(D39:D41)</f>
        <v>-44152.39655172413</v>
      </c>
      <c r="E42" s="23">
        <f t="shared" si="7"/>
        <v>-44193.06323275861</v>
      </c>
      <c r="F42" s="23">
        <f t="shared" si="7"/>
        <v>-44245.58134655171</v>
      </c>
      <c r="G42" s="23">
        <f t="shared" si="7"/>
        <v>-44310.18792175861</v>
      </c>
      <c r="H42" s="23">
        <f t="shared" si="7"/>
        <v>-44387.124727607574</v>
      </c>
      <c r="I42" s="23">
        <f t="shared" si="7"/>
        <v>-44476.63836871146</v>
      </c>
      <c r="J42" s="23">
        <f t="shared" si="7"/>
        <v>-44578.980381775335</v>
      </c>
      <c r="K42" s="23">
        <f t="shared" si="7"/>
        <v>-44694.407334238436</v>
      </c>
      <c r="L42" s="23">
        <f t="shared" si="7"/>
        <v>-44823.180924888715</v>
      </c>
      <c r="M42" s="23">
        <f t="shared" si="7"/>
        <v>-44965.56808648994</v>
      </c>
      <c r="N42" s="23">
        <f t="shared" si="7"/>
        <v>-50640.89065942663</v>
      </c>
      <c r="O42" s="23">
        <f t="shared" si="7"/>
        <v>-50811.32722261516</v>
      </c>
      <c r="P42" s="23">
        <f t="shared" si="7"/>
        <v>-50996.2106162054</v>
      </c>
      <c r="Q42" s="23">
        <f t="shared" si="7"/>
        <v>-51195.829776805374</v>
      </c>
      <c r="R42" s="23">
        <f t="shared" si="7"/>
        <v>-51410.47941975527</v>
      </c>
      <c r="S42" s="23">
        <f t="shared" si="7"/>
        <v>-51640.4601547021</v>
      </c>
      <c r="T42" s="23">
        <f t="shared" si="7"/>
        <v>-51886.0786034858</v>
      </c>
      <c r="U42" s="23">
        <f t="shared" si="7"/>
        <v>-52147.64752038309</v>
      </c>
      <c r="V42" s="23">
        <f t="shared" si="7"/>
        <v>-52425.48591475628</v>
      </c>
      <c r="W42" s="23">
        <f t="shared" si="7"/>
        <v>-52719.919176154915</v>
      </c>
      <c r="X42" s="23">
        <f aca="true" t="shared" si="8" ref="X42:AQ42">SUM(X39:X41)</f>
        <v>0</v>
      </c>
      <c r="Y42" s="23">
        <f t="shared" si="8"/>
        <v>0</v>
      </c>
      <c r="Z42" s="23">
        <f t="shared" si="8"/>
        <v>0</v>
      </c>
      <c r="AA42" s="23">
        <f t="shared" si="8"/>
        <v>0</v>
      </c>
      <c r="AB42" s="23">
        <f t="shared" si="8"/>
        <v>0</v>
      </c>
      <c r="AC42" s="23">
        <f t="shared" si="8"/>
        <v>0</v>
      </c>
      <c r="AD42" s="23">
        <f t="shared" si="8"/>
        <v>0</v>
      </c>
      <c r="AE42" s="23">
        <f t="shared" si="8"/>
        <v>0</v>
      </c>
      <c r="AF42" s="23">
        <f t="shared" si="8"/>
        <v>0</v>
      </c>
      <c r="AG42" s="23">
        <f t="shared" si="8"/>
        <v>0</v>
      </c>
      <c r="AH42" s="23">
        <f t="shared" si="8"/>
        <v>0</v>
      </c>
      <c r="AI42" s="23">
        <f t="shared" si="8"/>
        <v>0</v>
      </c>
      <c r="AJ42" s="23">
        <f t="shared" si="8"/>
        <v>0</v>
      </c>
      <c r="AK42" s="23">
        <f t="shared" si="8"/>
        <v>0</v>
      </c>
      <c r="AL42" s="23">
        <f t="shared" si="8"/>
        <v>0</v>
      </c>
      <c r="AM42" s="23">
        <f t="shared" si="8"/>
        <v>0</v>
      </c>
      <c r="AN42" s="23">
        <f t="shared" si="8"/>
        <v>0</v>
      </c>
      <c r="AO42" s="23">
        <f t="shared" si="8"/>
        <v>0</v>
      </c>
      <c r="AP42" s="23">
        <f t="shared" si="8"/>
        <v>0</v>
      </c>
      <c r="AQ42" s="23">
        <f t="shared" si="8"/>
        <v>0</v>
      </c>
      <c r="AR42" s="21" t="s">
        <v>8</v>
      </c>
      <c r="AS42" s="153">
        <f>-PMT($H$20,$C$17,NPV($H$20,$D42:$AQ42)+$C42)/AS$33</f>
        <v>-65.00907950659713</v>
      </c>
      <c r="AT42" s="153"/>
      <c r="AU42" s="153"/>
      <c r="AV42" s="153"/>
      <c r="AX42" s="172"/>
      <c r="AY42" s="172"/>
      <c r="AZ42" s="172"/>
      <c r="BB42" s="182"/>
      <c r="BC42" s="182"/>
      <c r="BD42" s="182"/>
    </row>
    <row r="43" spans="2:56" ht="12">
      <c r="B43" s="14"/>
      <c r="C43" s="3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9"/>
      <c r="AS43" s="153"/>
      <c r="AT43" s="153"/>
      <c r="AU43" s="153"/>
      <c r="AV43" s="153"/>
      <c r="AX43" s="172"/>
      <c r="AY43" s="172"/>
      <c r="AZ43" s="172"/>
      <c r="BB43" s="182"/>
      <c r="BC43" s="182"/>
      <c r="BD43" s="182"/>
    </row>
    <row r="44" spans="2:56" ht="12">
      <c r="B44" s="8" t="s">
        <v>47</v>
      </c>
      <c r="C44" s="22"/>
      <c r="D44" s="22">
        <f aca="true" t="shared" si="9" ref="D44:AQ44">D37+D42</f>
        <v>81374.32412306483</v>
      </c>
      <c r="E44" s="22">
        <f t="shared" si="9"/>
        <v>80963.24443736556</v>
      </c>
      <c r="F44" s="22">
        <f t="shared" si="9"/>
        <v>80544.39545287771</v>
      </c>
      <c r="G44" s="22">
        <f t="shared" si="9"/>
        <v>80117.51592949011</v>
      </c>
      <c r="H44" s="22">
        <f t="shared" si="9"/>
        <v>79682.34006878371</v>
      </c>
      <c r="I44" s="22">
        <f t="shared" si="9"/>
        <v>7463.343262820323</v>
      </c>
      <c r="J44" s="22">
        <f t="shared" si="9"/>
        <v>7513.185395936838</v>
      </c>
      <c r="K44" s="22">
        <f t="shared" si="9"/>
        <v>7550.388489202429</v>
      </c>
      <c r="L44" s="22">
        <f t="shared" si="9"/>
        <v>7574.692150314833</v>
      </c>
      <c r="M44" s="22">
        <f t="shared" si="9"/>
        <v>7585.830756823947</v>
      </c>
      <c r="N44" s="22">
        <f t="shared" si="9"/>
        <v>2064.483782498166</v>
      </c>
      <c r="O44" s="22">
        <f t="shared" si="9"/>
        <v>2048.473966424477</v>
      </c>
      <c r="P44" s="22">
        <f t="shared" si="9"/>
        <v>2018.4697903181295</v>
      </c>
      <c r="Q44" s="22">
        <f t="shared" si="9"/>
        <v>1974.1836433092685</v>
      </c>
      <c r="R44" s="22">
        <f t="shared" si="9"/>
        <v>1915.3221396803128</v>
      </c>
      <c r="S44" s="22">
        <f t="shared" si="9"/>
        <v>1841.5860033026256</v>
      </c>
      <c r="T44" s="22">
        <f t="shared" si="9"/>
        <v>1752.6699497618756</v>
      </c>
      <c r="U44" s="22">
        <f t="shared" si="9"/>
        <v>1648.2625661255952</v>
      </c>
      <c r="V44" s="22">
        <f t="shared" si="9"/>
        <v>1528.0461883058815</v>
      </c>
      <c r="W44" s="22">
        <f t="shared" si="9"/>
        <v>1391.6967759692197</v>
      </c>
      <c r="X44" s="22">
        <f t="shared" si="9"/>
        <v>0</v>
      </c>
      <c r="Y44" s="22">
        <f t="shared" si="9"/>
        <v>0</v>
      </c>
      <c r="Z44" s="22">
        <f t="shared" si="9"/>
        <v>0</v>
      </c>
      <c r="AA44" s="22">
        <f t="shared" si="9"/>
        <v>0</v>
      </c>
      <c r="AB44" s="22">
        <f t="shared" si="9"/>
        <v>0</v>
      </c>
      <c r="AC44" s="22">
        <f t="shared" si="9"/>
        <v>0</v>
      </c>
      <c r="AD44" s="22">
        <f t="shared" si="9"/>
        <v>0</v>
      </c>
      <c r="AE44" s="22">
        <f t="shared" si="9"/>
        <v>0</v>
      </c>
      <c r="AF44" s="22">
        <f t="shared" si="9"/>
        <v>0</v>
      </c>
      <c r="AG44" s="22">
        <f t="shared" si="9"/>
        <v>0</v>
      </c>
      <c r="AH44" s="22">
        <f t="shared" si="9"/>
        <v>0</v>
      </c>
      <c r="AI44" s="22">
        <f t="shared" si="9"/>
        <v>0</v>
      </c>
      <c r="AJ44" s="22">
        <f t="shared" si="9"/>
        <v>0</v>
      </c>
      <c r="AK44" s="22">
        <f t="shared" si="9"/>
        <v>0</v>
      </c>
      <c r="AL44" s="22">
        <f t="shared" si="9"/>
        <v>0</v>
      </c>
      <c r="AM44" s="22">
        <f t="shared" si="9"/>
        <v>0</v>
      </c>
      <c r="AN44" s="22">
        <f t="shared" si="9"/>
        <v>0</v>
      </c>
      <c r="AO44" s="22">
        <f t="shared" si="9"/>
        <v>0</v>
      </c>
      <c r="AP44" s="22">
        <f t="shared" si="9"/>
        <v>0</v>
      </c>
      <c r="AQ44" s="22">
        <f t="shared" si="9"/>
        <v>0</v>
      </c>
      <c r="AR44" s="30" t="s">
        <v>47</v>
      </c>
      <c r="AS44" s="153">
        <f aca="true" t="shared" si="10" ref="AS44:AS49">-PMT($H$20,$C$17,NPV($H$20,$D44:$AQ44)+$C44)/AS$33</f>
        <v>55.66969202914733</v>
      </c>
      <c r="AT44" s="153"/>
      <c r="AU44" s="153"/>
      <c r="AV44" s="153"/>
      <c r="AX44" s="172"/>
      <c r="AY44" s="172"/>
      <c r="AZ44" s="172"/>
      <c r="BB44" s="182"/>
      <c r="BC44" s="182"/>
      <c r="BD44" s="182"/>
    </row>
    <row r="45" spans="2:56" s="126" customFormat="1" ht="12">
      <c r="B45" s="126" t="s">
        <v>16</v>
      </c>
      <c r="C45" s="185"/>
      <c r="D45" s="184">
        <f>-D99</f>
        <v>-47057.15948275861</v>
      </c>
      <c r="E45" s="184">
        <f aca="true" t="shared" si="11" ref="E45:AQ45">-E99</f>
        <v>-45777.93144963077</v>
      </c>
      <c r="F45" s="184">
        <f t="shared" si="11"/>
        <v>-44421.94973451526</v>
      </c>
      <c r="G45" s="184">
        <f t="shared" si="11"/>
        <v>-42984.60911649282</v>
      </c>
      <c r="H45" s="184">
        <f t="shared" si="11"/>
        <v>-41461.02806138904</v>
      </c>
      <c r="I45" s="184">
        <f t="shared" si="11"/>
        <v>-39846.032142979035</v>
      </c>
      <c r="J45" s="184">
        <f t="shared" si="11"/>
        <v>-38134.13646946442</v>
      </c>
      <c r="K45" s="184">
        <f t="shared" si="11"/>
        <v>-36319.527055538936</v>
      </c>
      <c r="L45" s="184">
        <f t="shared" si="11"/>
        <v>-34396.04107677792</v>
      </c>
      <c r="M45" s="184">
        <f t="shared" si="11"/>
        <v>-32357.14593929124</v>
      </c>
      <c r="N45" s="184">
        <f t="shared" si="11"/>
        <v>-30195.917093555363</v>
      </c>
      <c r="O45" s="184">
        <f t="shared" si="11"/>
        <v>-27905.01451707533</v>
      </c>
      <c r="P45" s="184">
        <f t="shared" si="11"/>
        <v>-25476.657786006497</v>
      </c>
      <c r="Q45" s="184">
        <f t="shared" si="11"/>
        <v>-22902.599651073535</v>
      </c>
      <c r="R45" s="184">
        <f t="shared" si="11"/>
        <v>-20174.098028044595</v>
      </c>
      <c r="S45" s="184">
        <f t="shared" si="11"/>
        <v>-17281.88630763392</v>
      </c>
      <c r="T45" s="184">
        <f t="shared" si="11"/>
        <v>-14216.141883998598</v>
      </c>
      <c r="U45" s="184">
        <f t="shared" si="11"/>
        <v>-10966.452794945162</v>
      </c>
      <c r="V45" s="184">
        <f t="shared" si="11"/>
        <v>-7521.782360548519</v>
      </c>
      <c r="W45" s="184">
        <f t="shared" si="11"/>
        <v>-3870.4317000880774</v>
      </c>
      <c r="X45" s="184">
        <f t="shared" si="11"/>
        <v>0</v>
      </c>
      <c r="Y45" s="184">
        <f t="shared" si="11"/>
        <v>0</v>
      </c>
      <c r="Z45" s="184">
        <f t="shared" si="11"/>
        <v>0</v>
      </c>
      <c r="AA45" s="184">
        <f t="shared" si="11"/>
        <v>0</v>
      </c>
      <c r="AB45" s="184">
        <f t="shared" si="11"/>
        <v>0</v>
      </c>
      <c r="AC45" s="184">
        <f t="shared" si="11"/>
        <v>0</v>
      </c>
      <c r="AD45" s="184">
        <f t="shared" si="11"/>
        <v>0</v>
      </c>
      <c r="AE45" s="184">
        <f t="shared" si="11"/>
        <v>0</v>
      </c>
      <c r="AF45" s="184">
        <f t="shared" si="11"/>
        <v>0</v>
      </c>
      <c r="AG45" s="184">
        <f t="shared" si="11"/>
        <v>0</v>
      </c>
      <c r="AH45" s="184">
        <f t="shared" si="11"/>
        <v>0</v>
      </c>
      <c r="AI45" s="184">
        <f t="shared" si="11"/>
        <v>0</v>
      </c>
      <c r="AJ45" s="184">
        <f t="shared" si="11"/>
        <v>0</v>
      </c>
      <c r="AK45" s="184">
        <f t="shared" si="11"/>
        <v>0</v>
      </c>
      <c r="AL45" s="184">
        <f t="shared" si="11"/>
        <v>0</v>
      </c>
      <c r="AM45" s="184">
        <f t="shared" si="11"/>
        <v>0</v>
      </c>
      <c r="AN45" s="184">
        <f t="shared" si="11"/>
        <v>0</v>
      </c>
      <c r="AO45" s="184">
        <f t="shared" si="11"/>
        <v>0</v>
      </c>
      <c r="AP45" s="184">
        <f t="shared" si="11"/>
        <v>0</v>
      </c>
      <c r="AQ45" s="184">
        <f t="shared" si="11"/>
        <v>0</v>
      </c>
      <c r="AR45" s="173" t="s">
        <v>16</v>
      </c>
      <c r="AS45" s="153">
        <f t="shared" si="10"/>
        <v>-50.597261367028906</v>
      </c>
      <c r="AT45" s="153"/>
      <c r="AU45" s="153"/>
      <c r="AV45" s="153"/>
      <c r="AX45" s="172"/>
      <c r="AY45" s="172"/>
      <c r="AZ45" s="172"/>
      <c r="BB45" s="182"/>
      <c r="BC45" s="182"/>
      <c r="BD45" s="182"/>
    </row>
    <row r="46" spans="2:56" s="126" customFormat="1" ht="12">
      <c r="B46" s="12" t="s">
        <v>73</v>
      </c>
      <c r="C46" s="26"/>
      <c r="D46" s="184">
        <f>-D101</f>
        <v>-21320.467218797276</v>
      </c>
      <c r="E46" s="184">
        <f aca="true" t="shared" si="12" ref="E46:AQ46">-E101</f>
        <v>-22599.695251925114</v>
      </c>
      <c r="F46" s="184">
        <f t="shared" si="12"/>
        <v>-23955.67696704062</v>
      </c>
      <c r="G46" s="184">
        <f t="shared" si="12"/>
        <v>-25393.017585063062</v>
      </c>
      <c r="H46" s="184">
        <f t="shared" si="12"/>
        <v>-26916.59864016684</v>
      </c>
      <c r="I46" s="184">
        <f t="shared" si="12"/>
        <v>-28531.59455857685</v>
      </c>
      <c r="J46" s="184">
        <f t="shared" si="12"/>
        <v>-30243.490232091463</v>
      </c>
      <c r="K46" s="184">
        <f t="shared" si="12"/>
        <v>-32058.099646016948</v>
      </c>
      <c r="L46" s="184">
        <f t="shared" si="12"/>
        <v>-33981.58562477797</v>
      </c>
      <c r="M46" s="184">
        <f t="shared" si="12"/>
        <v>-36020.48076226465</v>
      </c>
      <c r="N46" s="184">
        <f t="shared" si="12"/>
        <v>-38181.70960800052</v>
      </c>
      <c r="O46" s="184">
        <f t="shared" si="12"/>
        <v>-40472.61218448055</v>
      </c>
      <c r="P46" s="184">
        <f t="shared" si="12"/>
        <v>-42900.96891554938</v>
      </c>
      <c r="Q46" s="184">
        <f t="shared" si="12"/>
        <v>-45475.02705048235</v>
      </c>
      <c r="R46" s="184">
        <f t="shared" si="12"/>
        <v>-48203.52867351129</v>
      </c>
      <c r="S46" s="184">
        <f t="shared" si="12"/>
        <v>-51095.740393921966</v>
      </c>
      <c r="T46" s="184">
        <f t="shared" si="12"/>
        <v>-54161.484817557284</v>
      </c>
      <c r="U46" s="184">
        <f t="shared" si="12"/>
        <v>-57411.173906610726</v>
      </c>
      <c r="V46" s="184">
        <f t="shared" si="12"/>
        <v>-60855.84434100737</v>
      </c>
      <c r="W46" s="184">
        <f t="shared" si="12"/>
        <v>-64507.19500146781</v>
      </c>
      <c r="X46" s="184">
        <f t="shared" si="12"/>
        <v>0</v>
      </c>
      <c r="Y46" s="184">
        <f t="shared" si="12"/>
        <v>0</v>
      </c>
      <c r="Z46" s="184">
        <f t="shared" si="12"/>
        <v>0</v>
      </c>
      <c r="AA46" s="184">
        <f t="shared" si="12"/>
        <v>0</v>
      </c>
      <c r="AB46" s="184">
        <f t="shared" si="12"/>
        <v>0</v>
      </c>
      <c r="AC46" s="184">
        <f t="shared" si="12"/>
        <v>0</v>
      </c>
      <c r="AD46" s="184">
        <f t="shared" si="12"/>
        <v>0</v>
      </c>
      <c r="AE46" s="184">
        <f t="shared" si="12"/>
        <v>0</v>
      </c>
      <c r="AF46" s="184">
        <f t="shared" si="12"/>
        <v>0</v>
      </c>
      <c r="AG46" s="184">
        <f t="shared" si="12"/>
        <v>0</v>
      </c>
      <c r="AH46" s="184">
        <f t="shared" si="12"/>
        <v>0</v>
      </c>
      <c r="AI46" s="184">
        <f t="shared" si="12"/>
        <v>0</v>
      </c>
      <c r="AJ46" s="184">
        <f t="shared" si="12"/>
        <v>0</v>
      </c>
      <c r="AK46" s="184">
        <f t="shared" si="12"/>
        <v>0</v>
      </c>
      <c r="AL46" s="184">
        <f t="shared" si="12"/>
        <v>0</v>
      </c>
      <c r="AM46" s="184">
        <f t="shared" si="12"/>
        <v>0</v>
      </c>
      <c r="AN46" s="184">
        <f t="shared" si="12"/>
        <v>0</v>
      </c>
      <c r="AO46" s="184">
        <f t="shared" si="12"/>
        <v>0</v>
      </c>
      <c r="AP46" s="184">
        <f t="shared" si="12"/>
        <v>0</v>
      </c>
      <c r="AQ46" s="184">
        <f t="shared" si="12"/>
        <v>0</v>
      </c>
      <c r="AR46" s="177" t="s">
        <v>73</v>
      </c>
      <c r="AS46" s="153">
        <f t="shared" si="10"/>
        <v>-45.49249687849889</v>
      </c>
      <c r="AT46" s="153"/>
      <c r="AU46" s="153"/>
      <c r="AV46" s="153"/>
      <c r="AX46" s="172"/>
      <c r="AY46" s="172"/>
      <c r="AZ46" s="172"/>
      <c r="BB46" s="182"/>
      <c r="BC46" s="182"/>
      <c r="BD46" s="182"/>
    </row>
    <row r="47" spans="2:56" s="126" customFormat="1" ht="12">
      <c r="B47" s="12" t="s">
        <v>49</v>
      </c>
      <c r="C47" s="184"/>
      <c r="D47" s="184">
        <f aca="true" t="shared" si="13" ref="D47:AQ47">$C$9*(IF(D95=0,-1,IF(D95=$H$19,1,0)))</f>
        <v>0</v>
      </c>
      <c r="E47" s="184">
        <f t="shared" si="13"/>
        <v>0</v>
      </c>
      <c r="F47" s="184">
        <f t="shared" si="13"/>
        <v>0</v>
      </c>
      <c r="G47" s="184">
        <f t="shared" si="13"/>
        <v>0</v>
      </c>
      <c r="H47" s="184">
        <f t="shared" si="13"/>
        <v>0</v>
      </c>
      <c r="I47" s="184">
        <f t="shared" si="13"/>
        <v>0</v>
      </c>
      <c r="J47" s="184">
        <f t="shared" si="13"/>
        <v>0</v>
      </c>
      <c r="K47" s="184">
        <f t="shared" si="13"/>
        <v>0</v>
      </c>
      <c r="L47" s="184">
        <f t="shared" si="13"/>
        <v>0</v>
      </c>
      <c r="M47" s="184">
        <f t="shared" si="13"/>
        <v>0</v>
      </c>
      <c r="N47" s="184">
        <f t="shared" si="13"/>
        <v>0</v>
      </c>
      <c r="O47" s="184">
        <f t="shared" si="13"/>
        <v>0</v>
      </c>
      <c r="P47" s="184">
        <f t="shared" si="13"/>
        <v>0</v>
      </c>
      <c r="Q47" s="184">
        <f t="shared" si="13"/>
        <v>0</v>
      </c>
      <c r="R47" s="184">
        <f t="shared" si="13"/>
        <v>0</v>
      </c>
      <c r="S47" s="184">
        <f t="shared" si="13"/>
        <v>0</v>
      </c>
      <c r="T47" s="184">
        <f t="shared" si="13"/>
        <v>0</v>
      </c>
      <c r="U47" s="184">
        <f t="shared" si="13"/>
        <v>0</v>
      </c>
      <c r="V47" s="184">
        <f t="shared" si="13"/>
        <v>0</v>
      </c>
      <c r="W47" s="184">
        <f t="shared" si="13"/>
        <v>0</v>
      </c>
      <c r="X47" s="184">
        <f t="shared" si="13"/>
        <v>0</v>
      </c>
      <c r="Y47" s="184">
        <f t="shared" si="13"/>
        <v>0</v>
      </c>
      <c r="Z47" s="184">
        <f t="shared" si="13"/>
        <v>0</v>
      </c>
      <c r="AA47" s="184">
        <f t="shared" si="13"/>
        <v>0</v>
      </c>
      <c r="AB47" s="184">
        <f t="shared" si="13"/>
        <v>0</v>
      </c>
      <c r="AC47" s="184">
        <f t="shared" si="13"/>
        <v>0</v>
      </c>
      <c r="AD47" s="184">
        <f t="shared" si="13"/>
        <v>0</v>
      </c>
      <c r="AE47" s="184">
        <f t="shared" si="13"/>
        <v>0</v>
      </c>
      <c r="AF47" s="184">
        <f t="shared" si="13"/>
        <v>0</v>
      </c>
      <c r="AG47" s="184">
        <f t="shared" si="13"/>
        <v>0</v>
      </c>
      <c r="AH47" s="184">
        <f t="shared" si="13"/>
        <v>0</v>
      </c>
      <c r="AI47" s="184">
        <f t="shared" si="13"/>
        <v>0</v>
      </c>
      <c r="AJ47" s="184">
        <f t="shared" si="13"/>
        <v>0</v>
      </c>
      <c r="AK47" s="184">
        <f t="shared" si="13"/>
        <v>0</v>
      </c>
      <c r="AL47" s="184">
        <f t="shared" si="13"/>
        <v>0</v>
      </c>
      <c r="AM47" s="184">
        <f t="shared" si="13"/>
        <v>0</v>
      </c>
      <c r="AN47" s="184">
        <f t="shared" si="13"/>
        <v>0</v>
      </c>
      <c r="AO47" s="184">
        <f t="shared" si="13"/>
        <v>0</v>
      </c>
      <c r="AP47" s="184">
        <f t="shared" si="13"/>
        <v>0</v>
      </c>
      <c r="AQ47" s="184">
        <f t="shared" si="13"/>
        <v>0</v>
      </c>
      <c r="AR47" s="177" t="s">
        <v>49</v>
      </c>
      <c r="AS47" s="153">
        <f t="shared" si="10"/>
        <v>0</v>
      </c>
      <c r="AT47" s="153"/>
      <c r="AU47" s="153"/>
      <c r="AV47" s="153"/>
      <c r="AX47" s="172"/>
      <c r="AY47" s="172"/>
      <c r="AZ47" s="172"/>
      <c r="BB47" s="182"/>
      <c r="BC47" s="182"/>
      <c r="BD47" s="182"/>
    </row>
    <row r="48" spans="2:56" s="126" customFormat="1" ht="12">
      <c r="B48" s="12" t="s">
        <v>67</v>
      </c>
      <c r="C48" s="184"/>
      <c r="D48" s="184">
        <f>D127</f>
        <v>0</v>
      </c>
      <c r="E48" s="184">
        <f aca="true" t="shared" si="14" ref="E48:AQ48">E127</f>
        <v>0</v>
      </c>
      <c r="F48" s="184">
        <f t="shared" si="14"/>
        <v>0</v>
      </c>
      <c r="G48" s="184">
        <f t="shared" si="14"/>
        <v>0</v>
      </c>
      <c r="H48" s="184">
        <f t="shared" si="14"/>
        <v>0</v>
      </c>
      <c r="I48" s="184">
        <f t="shared" si="14"/>
        <v>0</v>
      </c>
      <c r="J48" s="184">
        <f t="shared" si="14"/>
        <v>0</v>
      </c>
      <c r="K48" s="184">
        <f t="shared" si="14"/>
        <v>0</v>
      </c>
      <c r="L48" s="184">
        <f t="shared" si="14"/>
        <v>0</v>
      </c>
      <c r="M48" s="184">
        <f t="shared" si="14"/>
        <v>0</v>
      </c>
      <c r="N48" s="184">
        <f t="shared" si="14"/>
        <v>0</v>
      </c>
      <c r="O48" s="184">
        <f t="shared" si="14"/>
        <v>0</v>
      </c>
      <c r="P48" s="184">
        <f t="shared" si="14"/>
        <v>0</v>
      </c>
      <c r="Q48" s="184">
        <f t="shared" si="14"/>
        <v>0</v>
      </c>
      <c r="R48" s="184">
        <f t="shared" si="14"/>
        <v>0</v>
      </c>
      <c r="S48" s="184">
        <f t="shared" si="14"/>
        <v>0</v>
      </c>
      <c r="T48" s="184">
        <f t="shared" si="14"/>
        <v>0</v>
      </c>
      <c r="U48" s="184">
        <f t="shared" si="14"/>
        <v>0</v>
      </c>
      <c r="V48" s="184">
        <f t="shared" si="14"/>
        <v>0</v>
      </c>
      <c r="W48" s="184">
        <f t="shared" si="14"/>
        <v>0</v>
      </c>
      <c r="X48" s="184">
        <f t="shared" si="14"/>
        <v>0</v>
      </c>
      <c r="Y48" s="184">
        <f t="shared" si="14"/>
        <v>0</v>
      </c>
      <c r="Z48" s="184">
        <f t="shared" si="14"/>
        <v>0</v>
      </c>
      <c r="AA48" s="184">
        <f t="shared" si="14"/>
        <v>0</v>
      </c>
      <c r="AB48" s="184">
        <f t="shared" si="14"/>
        <v>0</v>
      </c>
      <c r="AC48" s="184">
        <f t="shared" si="14"/>
        <v>0</v>
      </c>
      <c r="AD48" s="184">
        <f t="shared" si="14"/>
        <v>0</v>
      </c>
      <c r="AE48" s="184">
        <f t="shared" si="14"/>
        <v>0</v>
      </c>
      <c r="AF48" s="184">
        <f t="shared" si="14"/>
        <v>0</v>
      </c>
      <c r="AG48" s="184">
        <f t="shared" si="14"/>
        <v>0</v>
      </c>
      <c r="AH48" s="184">
        <f t="shared" si="14"/>
        <v>0</v>
      </c>
      <c r="AI48" s="184">
        <f t="shared" si="14"/>
        <v>0</v>
      </c>
      <c r="AJ48" s="184">
        <f t="shared" si="14"/>
        <v>0</v>
      </c>
      <c r="AK48" s="184">
        <f t="shared" si="14"/>
        <v>0</v>
      </c>
      <c r="AL48" s="184">
        <f t="shared" si="14"/>
        <v>0</v>
      </c>
      <c r="AM48" s="184">
        <f t="shared" si="14"/>
        <v>0</v>
      </c>
      <c r="AN48" s="184">
        <f t="shared" si="14"/>
        <v>0</v>
      </c>
      <c r="AO48" s="184">
        <f t="shared" si="14"/>
        <v>0</v>
      </c>
      <c r="AP48" s="184">
        <f t="shared" si="14"/>
        <v>0</v>
      </c>
      <c r="AQ48" s="184">
        <f t="shared" si="14"/>
        <v>0</v>
      </c>
      <c r="AR48" s="177" t="s">
        <v>67</v>
      </c>
      <c r="AS48" s="153">
        <f t="shared" si="10"/>
        <v>0</v>
      </c>
      <c r="AT48" s="153"/>
      <c r="AU48" s="153"/>
      <c r="AV48" s="153"/>
      <c r="AX48" s="172"/>
      <c r="AY48" s="172"/>
      <c r="AZ48" s="172"/>
      <c r="BB48" s="182"/>
      <c r="BC48" s="182"/>
      <c r="BD48" s="182"/>
    </row>
    <row r="49" spans="2:56" s="15" customFormat="1" ht="12">
      <c r="B49" s="7" t="s">
        <v>76</v>
      </c>
      <c r="C49" s="24"/>
      <c r="D49" s="24">
        <f aca="true" t="shared" si="15" ref="D49:AQ49">D45+D46+D47+D48</f>
        <v>-68377.62670155588</v>
      </c>
      <c r="E49" s="24">
        <f t="shared" si="15"/>
        <v>-68377.62670155588</v>
      </c>
      <c r="F49" s="24">
        <f t="shared" si="15"/>
        <v>-68377.62670155588</v>
      </c>
      <c r="G49" s="24">
        <f t="shared" si="15"/>
        <v>-68377.62670155588</v>
      </c>
      <c r="H49" s="24">
        <f t="shared" si="15"/>
        <v>-68377.62670155588</v>
      </c>
      <c r="I49" s="24">
        <f t="shared" si="15"/>
        <v>-68377.62670155588</v>
      </c>
      <c r="J49" s="24">
        <f t="shared" si="15"/>
        <v>-68377.62670155588</v>
      </c>
      <c r="K49" s="24">
        <f t="shared" si="15"/>
        <v>-68377.62670155588</v>
      </c>
      <c r="L49" s="24">
        <f t="shared" si="15"/>
        <v>-68377.62670155588</v>
      </c>
      <c r="M49" s="24">
        <f t="shared" si="15"/>
        <v>-68377.62670155588</v>
      </c>
      <c r="N49" s="24">
        <f t="shared" si="15"/>
        <v>-68377.62670155588</v>
      </c>
      <c r="O49" s="24">
        <f t="shared" si="15"/>
        <v>-68377.62670155588</v>
      </c>
      <c r="P49" s="24">
        <f t="shared" si="15"/>
        <v>-68377.62670155588</v>
      </c>
      <c r="Q49" s="24">
        <f t="shared" si="15"/>
        <v>-68377.62670155588</v>
      </c>
      <c r="R49" s="24">
        <f t="shared" si="15"/>
        <v>-68377.62670155588</v>
      </c>
      <c r="S49" s="24">
        <f t="shared" si="15"/>
        <v>-68377.62670155588</v>
      </c>
      <c r="T49" s="24">
        <f t="shared" si="15"/>
        <v>-68377.62670155588</v>
      </c>
      <c r="U49" s="24">
        <f t="shared" si="15"/>
        <v>-68377.62670155588</v>
      </c>
      <c r="V49" s="24">
        <f t="shared" si="15"/>
        <v>-68377.62670155588</v>
      </c>
      <c r="W49" s="24">
        <f t="shared" si="15"/>
        <v>-68377.62670155588</v>
      </c>
      <c r="X49" s="24">
        <f t="shared" si="15"/>
        <v>0</v>
      </c>
      <c r="Y49" s="24">
        <f t="shared" si="15"/>
        <v>0</v>
      </c>
      <c r="Z49" s="24">
        <f t="shared" si="15"/>
        <v>0</v>
      </c>
      <c r="AA49" s="24">
        <f t="shared" si="15"/>
        <v>0</v>
      </c>
      <c r="AB49" s="24">
        <f t="shared" si="15"/>
        <v>0</v>
      </c>
      <c r="AC49" s="24">
        <f t="shared" si="15"/>
        <v>0</v>
      </c>
      <c r="AD49" s="24">
        <f t="shared" si="15"/>
        <v>0</v>
      </c>
      <c r="AE49" s="24">
        <f t="shared" si="15"/>
        <v>0</v>
      </c>
      <c r="AF49" s="24">
        <f t="shared" si="15"/>
        <v>0</v>
      </c>
      <c r="AG49" s="24">
        <f t="shared" si="15"/>
        <v>0</v>
      </c>
      <c r="AH49" s="24">
        <f t="shared" si="15"/>
        <v>0</v>
      </c>
      <c r="AI49" s="24">
        <f t="shared" si="15"/>
        <v>0</v>
      </c>
      <c r="AJ49" s="24">
        <f t="shared" si="15"/>
        <v>0</v>
      </c>
      <c r="AK49" s="24">
        <f t="shared" si="15"/>
        <v>0</v>
      </c>
      <c r="AL49" s="24">
        <f t="shared" si="15"/>
        <v>0</v>
      </c>
      <c r="AM49" s="24">
        <f t="shared" si="15"/>
        <v>0</v>
      </c>
      <c r="AN49" s="24">
        <f t="shared" si="15"/>
        <v>0</v>
      </c>
      <c r="AO49" s="24">
        <f t="shared" si="15"/>
        <v>0</v>
      </c>
      <c r="AP49" s="24">
        <f t="shared" si="15"/>
        <v>0</v>
      </c>
      <c r="AQ49" s="24">
        <f t="shared" si="15"/>
        <v>0</v>
      </c>
      <c r="AR49" s="31" t="s">
        <v>76</v>
      </c>
      <c r="AS49" s="153">
        <f t="shared" si="10"/>
        <v>-96.0897582455278</v>
      </c>
      <c r="AT49" s="153"/>
      <c r="AU49" s="153"/>
      <c r="AV49" s="153"/>
      <c r="AX49" s="172"/>
      <c r="AY49" s="172"/>
      <c r="AZ49" s="172"/>
      <c r="BB49" s="182"/>
      <c r="BC49" s="182"/>
      <c r="BD49" s="182"/>
    </row>
    <row r="50" spans="3:56" s="32" customFormat="1" ht="1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86"/>
      <c r="AS50" s="153"/>
      <c r="AT50" s="153"/>
      <c r="AU50" s="153"/>
      <c r="AV50" s="153"/>
      <c r="AX50" s="172"/>
      <c r="AY50" s="172"/>
      <c r="AZ50" s="172"/>
      <c r="BB50" s="182"/>
      <c r="BC50" s="182"/>
      <c r="BD50" s="182"/>
    </row>
    <row r="51" spans="2:56" s="126" customFormat="1" ht="12">
      <c r="B51" s="12" t="s">
        <v>115</v>
      </c>
      <c r="C51" s="175"/>
      <c r="D51" s="175">
        <f>D67</f>
        <v>22748.650894396553</v>
      </c>
      <c r="E51" s="175">
        <f aca="true" t="shared" si="16" ref="E51:AQ51">E67</f>
        <v>34700.813816974456</v>
      </c>
      <c r="F51" s="175">
        <f t="shared" si="16"/>
        <v>21795.41176490704</v>
      </c>
      <c r="G51" s="175">
        <f t="shared" si="16"/>
        <v>14016.304817301783</v>
      </c>
      <c r="H51" s="175">
        <f t="shared" si="16"/>
        <v>13928.698906633317</v>
      </c>
      <c r="I51" s="175">
        <f t="shared" si="16"/>
        <v>8063.491744773018</v>
      </c>
      <c r="J51" s="175">
        <f t="shared" si="16"/>
        <v>2192.7128469942045</v>
      </c>
      <c r="K51" s="175">
        <f t="shared" si="16"/>
        <v>2088.3728056934888</v>
      </c>
      <c r="L51" s="175">
        <f t="shared" si="16"/>
        <v>1977.7723619147303</v>
      </c>
      <c r="M51" s="175">
        <f t="shared" si="16"/>
        <v>1860.5358915092463</v>
      </c>
      <c r="N51" s="175">
        <f t="shared" si="16"/>
        <v>1736.2652328794334</v>
      </c>
      <c r="O51" s="175">
        <f t="shared" si="16"/>
        <v>1604.5383347318316</v>
      </c>
      <c r="P51" s="175">
        <f t="shared" si="16"/>
        <v>1464.9078226953736</v>
      </c>
      <c r="Q51" s="175">
        <f t="shared" si="16"/>
        <v>1316.8994799367283</v>
      </c>
      <c r="R51" s="175">
        <f t="shared" si="16"/>
        <v>1160.0106366125642</v>
      </c>
      <c r="S51" s="175">
        <f t="shared" si="16"/>
        <v>993.7084626889504</v>
      </c>
      <c r="T51" s="175">
        <f t="shared" si="16"/>
        <v>817.4281583299195</v>
      </c>
      <c r="U51" s="175">
        <f t="shared" si="16"/>
        <v>630.5710357093468</v>
      </c>
      <c r="V51" s="175">
        <f t="shared" si="16"/>
        <v>432.5024857315399</v>
      </c>
      <c r="W51" s="175">
        <f t="shared" si="16"/>
        <v>222.54982275506447</v>
      </c>
      <c r="X51" s="175">
        <f t="shared" si="16"/>
        <v>0</v>
      </c>
      <c r="Y51" s="175">
        <f t="shared" si="16"/>
        <v>0</v>
      </c>
      <c r="Z51" s="175">
        <f t="shared" si="16"/>
        <v>0</v>
      </c>
      <c r="AA51" s="175">
        <f t="shared" si="16"/>
        <v>0</v>
      </c>
      <c r="AB51" s="175">
        <f t="shared" si="16"/>
        <v>0</v>
      </c>
      <c r="AC51" s="175">
        <f t="shared" si="16"/>
        <v>0</v>
      </c>
      <c r="AD51" s="175">
        <f t="shared" si="16"/>
        <v>0</v>
      </c>
      <c r="AE51" s="175">
        <f t="shared" si="16"/>
        <v>0</v>
      </c>
      <c r="AF51" s="175">
        <f t="shared" si="16"/>
        <v>0</v>
      </c>
      <c r="AG51" s="175">
        <f t="shared" si="16"/>
        <v>0</v>
      </c>
      <c r="AH51" s="175">
        <f t="shared" si="16"/>
        <v>0</v>
      </c>
      <c r="AI51" s="175">
        <f t="shared" si="16"/>
        <v>0</v>
      </c>
      <c r="AJ51" s="175">
        <f t="shared" si="16"/>
        <v>0</v>
      </c>
      <c r="AK51" s="175">
        <f t="shared" si="16"/>
        <v>0</v>
      </c>
      <c r="AL51" s="175">
        <f t="shared" si="16"/>
        <v>0</v>
      </c>
      <c r="AM51" s="175">
        <f t="shared" si="16"/>
        <v>0</v>
      </c>
      <c r="AN51" s="175">
        <f t="shared" si="16"/>
        <v>0</v>
      </c>
      <c r="AO51" s="175">
        <f t="shared" si="16"/>
        <v>0</v>
      </c>
      <c r="AP51" s="175">
        <f t="shared" si="16"/>
        <v>0</v>
      </c>
      <c r="AQ51" s="175">
        <f t="shared" si="16"/>
        <v>0</v>
      </c>
      <c r="AR51" s="177" t="s">
        <v>115</v>
      </c>
      <c r="AS51" s="153">
        <f>-PMT($H$20,$C$17,NPV($H$20,$D51:$AQ51)+$C51)/AS$33</f>
        <v>16.12628167265782</v>
      </c>
      <c r="AT51" s="153"/>
      <c r="AU51" s="153"/>
      <c r="AV51" s="153"/>
      <c r="AX51" s="172"/>
      <c r="AY51" s="172"/>
      <c r="AZ51" s="172"/>
      <c r="BB51" s="182"/>
      <c r="BC51" s="182"/>
      <c r="BD51" s="182"/>
    </row>
    <row r="52" spans="2:56" ht="12">
      <c r="B52" s="12" t="s">
        <v>114</v>
      </c>
      <c r="C52" s="175"/>
      <c r="D52" s="175">
        <f>D78+D77</f>
        <v>504351.0103335128</v>
      </c>
      <c r="E52" s="175">
        <f aca="true" t="shared" si="17" ref="E52:AQ52">E78+E77</f>
        <v>169797.0497921193</v>
      </c>
      <c r="F52" s="175">
        <f t="shared" si="17"/>
        <v>107471.32346177664</v>
      </c>
      <c r="G52" s="175">
        <f t="shared" si="17"/>
        <v>69870.12760816513</v>
      </c>
      <c r="H52" s="175">
        <f t="shared" si="17"/>
        <v>69367.53630761277</v>
      </c>
      <c r="I52" s="175">
        <f t="shared" si="17"/>
        <v>40989.499691096236</v>
      </c>
      <c r="J52" s="175">
        <f t="shared" si="17"/>
        <v>12579.498267864576</v>
      </c>
      <c r="K52" s="175">
        <f t="shared" si="17"/>
        <v>11980.903987445907</v>
      </c>
      <c r="L52" s="175">
        <f t="shared" si="17"/>
        <v>11346.394050202116</v>
      </c>
      <c r="M52" s="175">
        <f t="shared" si="17"/>
        <v>10673.813516723696</v>
      </c>
      <c r="N52" s="175">
        <f t="shared" si="17"/>
        <v>9960.878151236575</v>
      </c>
      <c r="O52" s="175">
        <f t="shared" si="17"/>
        <v>9205.166663820224</v>
      </c>
      <c r="P52" s="175">
        <f t="shared" si="17"/>
        <v>8404.112487158893</v>
      </c>
      <c r="Q52" s="175">
        <f t="shared" si="17"/>
        <v>7554.995059897882</v>
      </c>
      <c r="R52" s="175">
        <f t="shared" si="17"/>
        <v>6654.9305870012095</v>
      </c>
      <c r="S52" s="175">
        <f t="shared" si="17"/>
        <v>5700.862245730738</v>
      </c>
      <c r="T52" s="175">
        <f t="shared" si="17"/>
        <v>4689.549803984037</v>
      </c>
      <c r="U52" s="175">
        <f t="shared" si="17"/>
        <v>3617.558615732535</v>
      </c>
      <c r="V52" s="175">
        <f t="shared" si="17"/>
        <v>2481.2479561859423</v>
      </c>
      <c r="W52" s="175">
        <f t="shared" si="17"/>
        <v>1276.7586570665544</v>
      </c>
      <c r="X52" s="175">
        <f t="shared" si="17"/>
        <v>0</v>
      </c>
      <c r="Y52" s="175">
        <f t="shared" si="17"/>
        <v>0</v>
      </c>
      <c r="Z52" s="175">
        <f t="shared" si="17"/>
        <v>0</v>
      </c>
      <c r="AA52" s="175">
        <f t="shared" si="17"/>
        <v>0</v>
      </c>
      <c r="AB52" s="175">
        <f t="shared" si="17"/>
        <v>0</v>
      </c>
      <c r="AC52" s="175">
        <f t="shared" si="17"/>
        <v>0</v>
      </c>
      <c r="AD52" s="175">
        <f t="shared" si="17"/>
        <v>0</v>
      </c>
      <c r="AE52" s="175">
        <f t="shared" si="17"/>
        <v>0</v>
      </c>
      <c r="AF52" s="175">
        <f t="shared" si="17"/>
        <v>0</v>
      </c>
      <c r="AG52" s="175">
        <f t="shared" si="17"/>
        <v>0</v>
      </c>
      <c r="AH52" s="175">
        <f t="shared" si="17"/>
        <v>0</v>
      </c>
      <c r="AI52" s="175">
        <f t="shared" si="17"/>
        <v>0</v>
      </c>
      <c r="AJ52" s="175">
        <f t="shared" si="17"/>
        <v>0</v>
      </c>
      <c r="AK52" s="175">
        <f t="shared" si="17"/>
        <v>0</v>
      </c>
      <c r="AL52" s="175">
        <f t="shared" si="17"/>
        <v>0</v>
      </c>
      <c r="AM52" s="175">
        <f t="shared" si="17"/>
        <v>0</v>
      </c>
      <c r="AN52" s="175">
        <f t="shared" si="17"/>
        <v>0</v>
      </c>
      <c r="AO52" s="175">
        <f t="shared" si="17"/>
        <v>0</v>
      </c>
      <c r="AP52" s="175">
        <f t="shared" si="17"/>
        <v>0</v>
      </c>
      <c r="AQ52" s="175">
        <f t="shared" si="17"/>
        <v>0</v>
      </c>
      <c r="AR52" s="177" t="s">
        <v>114</v>
      </c>
      <c r="AS52" s="153">
        <f>-PMT($H$20,$C$17,NPV($H$20,$D52:$AQ52)+$C52)/AS$33</f>
        <v>141.9135649394951</v>
      </c>
      <c r="AT52" s="153"/>
      <c r="AU52" s="153"/>
      <c r="AV52" s="153"/>
      <c r="AX52" s="172"/>
      <c r="AY52" s="172"/>
      <c r="AZ52" s="172"/>
      <c r="BB52" s="182"/>
      <c r="BC52" s="182"/>
      <c r="BD52" s="182"/>
    </row>
    <row r="53" spans="2:56" ht="12">
      <c r="B53" s="9" t="s">
        <v>81</v>
      </c>
      <c r="C53" s="23"/>
      <c r="D53" s="23">
        <f>D79</f>
        <v>527099.6612279094</v>
      </c>
      <c r="E53" s="23">
        <f aca="true" t="shared" si="18" ref="E53:AQ53">E79</f>
        <v>204497.86360909377</v>
      </c>
      <c r="F53" s="23">
        <f t="shared" si="18"/>
        <v>129266.73522668368</v>
      </c>
      <c r="G53" s="23">
        <f t="shared" si="18"/>
        <v>83886.43242546692</v>
      </c>
      <c r="H53" s="23">
        <f t="shared" si="18"/>
        <v>83296.23521424609</v>
      </c>
      <c r="I53" s="23">
        <f t="shared" si="18"/>
        <v>49052.991435869255</v>
      </c>
      <c r="J53" s="23">
        <f t="shared" si="18"/>
        <v>14772.21111485878</v>
      </c>
      <c r="K53" s="23">
        <f t="shared" si="18"/>
        <v>14069.276793139396</v>
      </c>
      <c r="L53" s="23">
        <f t="shared" si="18"/>
        <v>13324.166412116847</v>
      </c>
      <c r="M53" s="23">
        <f t="shared" si="18"/>
        <v>12534.349408232942</v>
      </c>
      <c r="N53" s="23">
        <f t="shared" si="18"/>
        <v>11697.143384116009</v>
      </c>
      <c r="O53" s="23">
        <f t="shared" si="18"/>
        <v>10809.704998552055</v>
      </c>
      <c r="P53" s="23">
        <f t="shared" si="18"/>
        <v>9869.020309854266</v>
      </c>
      <c r="Q53" s="23">
        <f t="shared" si="18"/>
        <v>8871.894539834611</v>
      </c>
      <c r="R53" s="23">
        <f t="shared" si="18"/>
        <v>7814.941223613774</v>
      </c>
      <c r="S53" s="23">
        <f t="shared" si="18"/>
        <v>6694.570708419688</v>
      </c>
      <c r="T53" s="23">
        <f t="shared" si="18"/>
        <v>5506.977962313957</v>
      </c>
      <c r="U53" s="23">
        <f t="shared" si="18"/>
        <v>4248.129651441882</v>
      </c>
      <c r="V53" s="23">
        <f t="shared" si="18"/>
        <v>2913.750441917482</v>
      </c>
      <c r="W53" s="23">
        <f t="shared" si="18"/>
        <v>1499.308479821619</v>
      </c>
      <c r="X53" s="23">
        <f t="shared" si="18"/>
        <v>0</v>
      </c>
      <c r="Y53" s="23">
        <f t="shared" si="18"/>
        <v>0</v>
      </c>
      <c r="Z53" s="23">
        <f t="shared" si="18"/>
        <v>0</v>
      </c>
      <c r="AA53" s="23">
        <f t="shared" si="18"/>
        <v>0</v>
      </c>
      <c r="AB53" s="23">
        <f t="shared" si="18"/>
        <v>0</v>
      </c>
      <c r="AC53" s="23">
        <f t="shared" si="18"/>
        <v>0</v>
      </c>
      <c r="AD53" s="23">
        <f t="shared" si="18"/>
        <v>0</v>
      </c>
      <c r="AE53" s="23">
        <f t="shared" si="18"/>
        <v>0</v>
      </c>
      <c r="AF53" s="23">
        <f t="shared" si="18"/>
        <v>0</v>
      </c>
      <c r="AG53" s="23">
        <f t="shared" si="18"/>
        <v>0</v>
      </c>
      <c r="AH53" s="23">
        <f t="shared" si="18"/>
        <v>0</v>
      </c>
      <c r="AI53" s="23">
        <f t="shared" si="18"/>
        <v>0</v>
      </c>
      <c r="AJ53" s="23">
        <f t="shared" si="18"/>
        <v>0</v>
      </c>
      <c r="AK53" s="23">
        <f t="shared" si="18"/>
        <v>0</v>
      </c>
      <c r="AL53" s="23">
        <f t="shared" si="18"/>
        <v>0</v>
      </c>
      <c r="AM53" s="23">
        <f t="shared" si="18"/>
        <v>0</v>
      </c>
      <c r="AN53" s="23">
        <f t="shared" si="18"/>
        <v>0</v>
      </c>
      <c r="AO53" s="23">
        <f t="shared" si="18"/>
        <v>0</v>
      </c>
      <c r="AP53" s="23">
        <f t="shared" si="18"/>
        <v>0</v>
      </c>
      <c r="AQ53" s="23">
        <f t="shared" si="18"/>
        <v>0</v>
      </c>
      <c r="AR53" s="21" t="s">
        <v>81</v>
      </c>
      <c r="AS53" s="153">
        <f>-PMT($H$20,$C$17,NPV($H$20,$D53:$AQ53)+$C53)/AS$33</f>
        <v>158.03984661215304</v>
      </c>
      <c r="AT53" s="153"/>
      <c r="AU53" s="153"/>
      <c r="AV53" s="153"/>
      <c r="AX53" s="172"/>
      <c r="AY53" s="172"/>
      <c r="AZ53" s="172"/>
      <c r="BB53" s="182"/>
      <c r="BC53" s="182"/>
      <c r="BD53" s="182"/>
    </row>
    <row r="54" spans="2:56" s="1" customFormat="1" ht="12">
      <c r="B54" s="33"/>
      <c r="C54" s="33"/>
      <c r="D54" s="33"/>
      <c r="E54" s="187"/>
      <c r="F54" s="12"/>
      <c r="G54" s="12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180"/>
      <c r="AS54" s="153"/>
      <c r="AT54" s="153"/>
      <c r="AU54" s="153"/>
      <c r="AV54" s="153"/>
      <c r="AX54" s="172"/>
      <c r="AY54" s="172"/>
      <c r="AZ54" s="172"/>
      <c r="BB54" s="182"/>
      <c r="BC54" s="182"/>
      <c r="BD54" s="182"/>
    </row>
    <row r="55" spans="2:56" ht="12">
      <c r="B55" s="12" t="s">
        <v>77</v>
      </c>
      <c r="C55" s="184">
        <f>-H25</f>
        <v>-958571.7672413792</v>
      </c>
      <c r="D55" s="33"/>
      <c r="E55" s="179"/>
      <c r="F55" s="175"/>
      <c r="G55" s="175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7" t="s">
        <v>77</v>
      </c>
      <c r="AS55" s="153">
        <f>-PMT($H$20,$C$17,NPV($H$20,$D55:$AQ55)+$C55)/AS$33</f>
        <v>-166.4005731598536</v>
      </c>
      <c r="AT55" s="153"/>
      <c r="AU55" s="153"/>
      <c r="AV55" s="153"/>
      <c r="AX55" s="172"/>
      <c r="AY55" s="172"/>
      <c r="AZ55" s="172"/>
      <c r="BB55" s="182"/>
      <c r="BC55" s="182"/>
      <c r="BD55" s="182"/>
    </row>
    <row r="56" spans="2:56" ht="12">
      <c r="B56" s="12"/>
      <c r="C56" s="184"/>
      <c r="D56" s="33"/>
      <c r="E56" s="179"/>
      <c r="F56" s="175"/>
      <c r="G56" s="175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7"/>
      <c r="AS56" s="153"/>
      <c r="AT56" s="153"/>
      <c r="AU56" s="153"/>
      <c r="AV56" s="153"/>
      <c r="AX56" s="172"/>
      <c r="AY56" s="172"/>
      <c r="AZ56" s="172"/>
      <c r="BB56" s="182"/>
      <c r="BC56" s="182"/>
      <c r="BD56" s="182"/>
    </row>
    <row r="57" spans="2:56" ht="12.75" thickBot="1">
      <c r="B57" s="188" t="s">
        <v>78</v>
      </c>
      <c r="C57" s="189">
        <f>C37+C42+C49+C55+C52</f>
        <v>-958571.7672413792</v>
      </c>
      <c r="D57" s="445">
        <f aca="true" t="shared" si="19" ref="D57:AQ57">D37+D42+D49+D53</f>
        <v>540096.3586494183</v>
      </c>
      <c r="E57" s="445">
        <f t="shared" si="19"/>
        <v>217083.48134490344</v>
      </c>
      <c r="F57" s="445">
        <f t="shared" si="19"/>
        <v>141433.5039780055</v>
      </c>
      <c r="G57" s="445">
        <f t="shared" si="19"/>
        <v>95626.32165340114</v>
      </c>
      <c r="H57" s="445">
        <f t="shared" si="19"/>
        <v>94600.94858147392</v>
      </c>
      <c r="I57" s="445">
        <f t="shared" si="19"/>
        <v>-11861.292002866307</v>
      </c>
      <c r="J57" s="445">
        <f t="shared" si="19"/>
        <v>-46092.23019076027</v>
      </c>
      <c r="K57" s="445">
        <f t="shared" si="19"/>
        <v>-46757.96141921406</v>
      </c>
      <c r="L57" s="445">
        <f t="shared" si="19"/>
        <v>-47478.76813912421</v>
      </c>
      <c r="M57" s="445">
        <f t="shared" si="19"/>
        <v>-48257.446536498996</v>
      </c>
      <c r="N57" s="445">
        <f t="shared" si="19"/>
        <v>-54615.99953494171</v>
      </c>
      <c r="O57" s="445">
        <f t="shared" si="19"/>
        <v>-55519.44773657936</v>
      </c>
      <c r="P57" s="445">
        <f t="shared" si="19"/>
        <v>-56490.13660138348</v>
      </c>
      <c r="Q57" s="445">
        <f t="shared" si="19"/>
        <v>-57531.548518412004</v>
      </c>
      <c r="R57" s="445">
        <f t="shared" si="19"/>
        <v>-58647.3633382618</v>
      </c>
      <c r="S57" s="189">
        <f t="shared" si="19"/>
        <v>-59841.46998983357</v>
      </c>
      <c r="T57" s="189">
        <f t="shared" si="19"/>
        <v>-61117.97878948005</v>
      </c>
      <c r="U57" s="189">
        <f t="shared" si="19"/>
        <v>-62481.2344839884</v>
      </c>
      <c r="V57" s="189">
        <f t="shared" si="19"/>
        <v>-63935.830071332515</v>
      </c>
      <c r="W57" s="189">
        <f t="shared" si="19"/>
        <v>-65486.62144576504</v>
      </c>
      <c r="X57" s="189">
        <f t="shared" si="19"/>
        <v>0</v>
      </c>
      <c r="Y57" s="189">
        <f t="shared" si="19"/>
        <v>0</v>
      </c>
      <c r="Z57" s="189">
        <f t="shared" si="19"/>
        <v>0</v>
      </c>
      <c r="AA57" s="189">
        <f t="shared" si="19"/>
        <v>0</v>
      </c>
      <c r="AB57" s="189">
        <f t="shared" si="19"/>
        <v>0</v>
      </c>
      <c r="AC57" s="189">
        <f t="shared" si="19"/>
        <v>0</v>
      </c>
      <c r="AD57" s="189">
        <f t="shared" si="19"/>
        <v>0</v>
      </c>
      <c r="AE57" s="189">
        <f t="shared" si="19"/>
        <v>0</v>
      </c>
      <c r="AF57" s="189">
        <f t="shared" si="19"/>
        <v>0</v>
      </c>
      <c r="AG57" s="189">
        <f t="shared" si="19"/>
        <v>0</v>
      </c>
      <c r="AH57" s="189">
        <f t="shared" si="19"/>
        <v>0</v>
      </c>
      <c r="AI57" s="189">
        <f t="shared" si="19"/>
        <v>0</v>
      </c>
      <c r="AJ57" s="189">
        <f t="shared" si="19"/>
        <v>0</v>
      </c>
      <c r="AK57" s="189">
        <f t="shared" si="19"/>
        <v>0</v>
      </c>
      <c r="AL57" s="189">
        <f t="shared" si="19"/>
        <v>0</v>
      </c>
      <c r="AM57" s="189">
        <f t="shared" si="19"/>
        <v>0</v>
      </c>
      <c r="AN57" s="189">
        <f t="shared" si="19"/>
        <v>0</v>
      </c>
      <c r="AO57" s="189">
        <f t="shared" si="19"/>
        <v>0</v>
      </c>
      <c r="AP57" s="189">
        <f t="shared" si="19"/>
        <v>0</v>
      </c>
      <c r="AQ57" s="189">
        <f t="shared" si="19"/>
        <v>0</v>
      </c>
      <c r="AR57" s="190" t="s">
        <v>78</v>
      </c>
      <c r="AS57" s="178">
        <f>-PMT($H$20,$C$17,NPV($H$20,D57:AQ57)+C57)/$AS$33</f>
        <v>-48.78079276408104</v>
      </c>
      <c r="AT57" s="178"/>
      <c r="AU57" s="153"/>
      <c r="AV57" s="153"/>
      <c r="AX57" s="172"/>
      <c r="AY57" s="172"/>
      <c r="AZ57" s="172"/>
      <c r="BB57" s="182"/>
      <c r="BC57" s="182"/>
      <c r="BD57" s="182"/>
    </row>
    <row r="58" spans="2:59" ht="12.75" thickTop="1">
      <c r="B58" s="191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21"/>
      <c r="AS58" s="193"/>
      <c r="AT58" s="153"/>
      <c r="AU58" s="153"/>
      <c r="AV58" s="126"/>
      <c r="AW58" s="193"/>
      <c r="AX58" s="153"/>
      <c r="AY58" s="153"/>
      <c r="AZ58" s="126"/>
      <c r="BA58" s="194"/>
      <c r="BB58" s="194"/>
      <c r="BC58" s="194"/>
      <c r="BD58" s="126"/>
      <c r="BE58" s="195"/>
      <c r="BF58" s="195"/>
      <c r="BG58" s="182"/>
    </row>
    <row r="59" spans="2:58" ht="12">
      <c r="B59" s="196" t="s">
        <v>94</v>
      </c>
      <c r="C59" s="197">
        <v>0</v>
      </c>
      <c r="D59" s="197">
        <v>1</v>
      </c>
      <c r="E59" s="197">
        <v>2</v>
      </c>
      <c r="F59" s="197">
        <v>3</v>
      </c>
      <c r="G59" s="197">
        <v>4</v>
      </c>
      <c r="H59" s="197">
        <v>5</v>
      </c>
      <c r="I59" s="197">
        <v>6</v>
      </c>
      <c r="J59" s="197">
        <v>7</v>
      </c>
      <c r="K59" s="197">
        <v>8</v>
      </c>
      <c r="L59" s="197">
        <v>9</v>
      </c>
      <c r="M59" s="197">
        <v>10</v>
      </c>
      <c r="N59" s="197">
        <v>11</v>
      </c>
      <c r="O59" s="197">
        <v>12</v>
      </c>
      <c r="P59" s="197">
        <v>13</v>
      </c>
      <c r="Q59" s="197">
        <v>14</v>
      </c>
      <c r="R59" s="197">
        <v>15</v>
      </c>
      <c r="S59" s="197">
        <v>16</v>
      </c>
      <c r="T59" s="197">
        <v>17</v>
      </c>
      <c r="U59" s="197">
        <v>18</v>
      </c>
      <c r="V59" s="197">
        <v>19</v>
      </c>
      <c r="W59" s="197">
        <v>20</v>
      </c>
      <c r="X59" s="197">
        <v>21</v>
      </c>
      <c r="Y59" s="197">
        <v>22</v>
      </c>
      <c r="Z59" s="197">
        <v>23</v>
      </c>
      <c r="AA59" s="197">
        <v>24</v>
      </c>
      <c r="AB59" s="197">
        <v>25</v>
      </c>
      <c r="AC59" s="197">
        <v>26</v>
      </c>
      <c r="AD59" s="197">
        <v>27</v>
      </c>
      <c r="AE59" s="197">
        <v>28</v>
      </c>
      <c r="AF59" s="197">
        <v>29</v>
      </c>
      <c r="AG59" s="197">
        <v>30</v>
      </c>
      <c r="AH59" s="197">
        <v>31</v>
      </c>
      <c r="AI59" s="197">
        <v>32</v>
      </c>
      <c r="AJ59" s="197">
        <v>33</v>
      </c>
      <c r="AK59" s="197">
        <v>34</v>
      </c>
      <c r="AL59" s="197">
        <v>35</v>
      </c>
      <c r="AM59" s="197">
        <v>36</v>
      </c>
      <c r="AN59" s="197">
        <v>37</v>
      </c>
      <c r="AO59" s="197">
        <v>38</v>
      </c>
      <c r="AP59" s="197">
        <v>39</v>
      </c>
      <c r="AQ59" s="197">
        <v>40</v>
      </c>
      <c r="AR59" s="21"/>
      <c r="AS59" s="35"/>
      <c r="AT59" s="35"/>
      <c r="AU59" s="35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</row>
    <row r="60" spans="2:58" ht="12">
      <c r="B60" s="9" t="s">
        <v>147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1"/>
      <c r="AS60" s="36"/>
      <c r="AT60" s="36"/>
      <c r="AU60" s="3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</row>
    <row r="61" spans="2:58" ht="12">
      <c r="B61" s="12" t="s">
        <v>97</v>
      </c>
      <c r="C61" s="23"/>
      <c r="D61" s="175">
        <v>0</v>
      </c>
      <c r="E61" s="175">
        <v>0</v>
      </c>
      <c r="F61" s="175">
        <v>0</v>
      </c>
      <c r="G61" s="175">
        <v>0</v>
      </c>
      <c r="H61" s="175">
        <v>0</v>
      </c>
      <c r="I61" s="175">
        <v>0</v>
      </c>
      <c r="J61" s="175">
        <v>0</v>
      </c>
      <c r="K61" s="175">
        <v>0</v>
      </c>
      <c r="L61" s="175">
        <v>0</v>
      </c>
      <c r="M61" s="175">
        <v>0</v>
      </c>
      <c r="N61" s="175">
        <v>0</v>
      </c>
      <c r="O61" s="175">
        <v>0</v>
      </c>
      <c r="P61" s="175">
        <v>0</v>
      </c>
      <c r="Q61" s="175">
        <v>0</v>
      </c>
      <c r="R61" s="175">
        <v>0</v>
      </c>
      <c r="S61" s="175">
        <v>0</v>
      </c>
      <c r="T61" s="175">
        <v>0</v>
      </c>
      <c r="U61" s="175">
        <v>0</v>
      </c>
      <c r="V61" s="175">
        <v>0</v>
      </c>
      <c r="W61" s="175">
        <v>0</v>
      </c>
      <c r="X61" s="175">
        <f aca="true" t="shared" si="20" ref="X61:AQ61">(X42+X36+X48)</f>
        <v>0</v>
      </c>
      <c r="Y61" s="175">
        <f t="shared" si="20"/>
        <v>0</v>
      </c>
      <c r="Z61" s="175">
        <f t="shared" si="20"/>
        <v>0</v>
      </c>
      <c r="AA61" s="175">
        <f t="shared" si="20"/>
        <v>0</v>
      </c>
      <c r="AB61" s="175">
        <f t="shared" si="20"/>
        <v>0</v>
      </c>
      <c r="AC61" s="175">
        <f t="shared" si="20"/>
        <v>0</v>
      </c>
      <c r="AD61" s="175">
        <f t="shared" si="20"/>
        <v>0</v>
      </c>
      <c r="AE61" s="175">
        <f t="shared" si="20"/>
        <v>0</v>
      </c>
      <c r="AF61" s="175">
        <f t="shared" si="20"/>
        <v>0</v>
      </c>
      <c r="AG61" s="175">
        <f t="shared" si="20"/>
        <v>0</v>
      </c>
      <c r="AH61" s="175">
        <f t="shared" si="20"/>
        <v>0</v>
      </c>
      <c r="AI61" s="175">
        <f t="shared" si="20"/>
        <v>0</v>
      </c>
      <c r="AJ61" s="175">
        <f t="shared" si="20"/>
        <v>0</v>
      </c>
      <c r="AK61" s="175">
        <f t="shared" si="20"/>
        <v>0</v>
      </c>
      <c r="AL61" s="175">
        <f t="shared" si="20"/>
        <v>0</v>
      </c>
      <c r="AM61" s="175">
        <f t="shared" si="20"/>
        <v>0</v>
      </c>
      <c r="AN61" s="175">
        <f t="shared" si="20"/>
        <v>0</v>
      </c>
      <c r="AO61" s="175">
        <f t="shared" si="20"/>
        <v>0</v>
      </c>
      <c r="AP61" s="175">
        <f t="shared" si="20"/>
        <v>0</v>
      </c>
      <c r="AQ61" s="175">
        <f t="shared" si="20"/>
        <v>0</v>
      </c>
      <c r="AR61" s="21"/>
      <c r="AS61" s="36"/>
      <c r="AT61" s="36"/>
      <c r="AU61" s="3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</row>
    <row r="62" spans="2:47" s="126" customFormat="1" ht="12">
      <c r="B62" s="12" t="s">
        <v>98</v>
      </c>
      <c r="C62" s="23"/>
      <c r="D62" s="198">
        <f aca="true" t="shared" si="21" ref="D62:AQ62">VLOOKUP($H$12,$C$137:$AQ$144,D136+1)</f>
        <v>0.2</v>
      </c>
      <c r="E62" s="198">
        <f t="shared" si="21"/>
        <v>0.32</v>
      </c>
      <c r="F62" s="198">
        <f t="shared" si="21"/>
        <v>0.192</v>
      </c>
      <c r="G62" s="198">
        <f t="shared" si="21"/>
        <v>0.1152</v>
      </c>
      <c r="H62" s="198">
        <f t="shared" si="21"/>
        <v>0.1152</v>
      </c>
      <c r="I62" s="198">
        <f t="shared" si="21"/>
        <v>0.0576</v>
      </c>
      <c r="J62" s="198">
        <f t="shared" si="21"/>
        <v>0</v>
      </c>
      <c r="K62" s="198">
        <f t="shared" si="21"/>
        <v>0</v>
      </c>
      <c r="L62" s="198">
        <f t="shared" si="21"/>
        <v>0</v>
      </c>
      <c r="M62" s="198">
        <f t="shared" si="21"/>
        <v>0</v>
      </c>
      <c r="N62" s="198">
        <f t="shared" si="21"/>
        <v>0</v>
      </c>
      <c r="O62" s="198">
        <f t="shared" si="21"/>
        <v>0</v>
      </c>
      <c r="P62" s="198">
        <f t="shared" si="21"/>
        <v>0</v>
      </c>
      <c r="Q62" s="198">
        <f t="shared" si="21"/>
        <v>0</v>
      </c>
      <c r="R62" s="198">
        <f t="shared" si="21"/>
        <v>0</v>
      </c>
      <c r="S62" s="198">
        <f t="shared" si="21"/>
        <v>0</v>
      </c>
      <c r="T62" s="198">
        <f t="shared" si="21"/>
        <v>0</v>
      </c>
      <c r="U62" s="198">
        <f t="shared" si="21"/>
        <v>0</v>
      </c>
      <c r="V62" s="198">
        <f t="shared" si="21"/>
        <v>0</v>
      </c>
      <c r="W62" s="198">
        <f t="shared" si="21"/>
        <v>0</v>
      </c>
      <c r="X62" s="198">
        <f t="shared" si="21"/>
        <v>0</v>
      </c>
      <c r="Y62" s="198">
        <f t="shared" si="21"/>
        <v>0</v>
      </c>
      <c r="Z62" s="198">
        <f t="shared" si="21"/>
        <v>0</v>
      </c>
      <c r="AA62" s="198">
        <f t="shared" si="21"/>
        <v>0</v>
      </c>
      <c r="AB62" s="198">
        <f t="shared" si="21"/>
        <v>0</v>
      </c>
      <c r="AC62" s="198">
        <f t="shared" si="21"/>
        <v>0</v>
      </c>
      <c r="AD62" s="198">
        <f t="shared" si="21"/>
        <v>0</v>
      </c>
      <c r="AE62" s="198">
        <f t="shared" si="21"/>
        <v>0</v>
      </c>
      <c r="AF62" s="198">
        <f t="shared" si="21"/>
        <v>0</v>
      </c>
      <c r="AG62" s="198">
        <f t="shared" si="21"/>
        <v>0</v>
      </c>
      <c r="AH62" s="198">
        <f t="shared" si="21"/>
        <v>0</v>
      </c>
      <c r="AI62" s="198">
        <f t="shared" si="21"/>
        <v>0</v>
      </c>
      <c r="AJ62" s="198">
        <f t="shared" si="21"/>
        <v>0</v>
      </c>
      <c r="AK62" s="198">
        <f t="shared" si="21"/>
        <v>0</v>
      </c>
      <c r="AL62" s="198">
        <f t="shared" si="21"/>
        <v>0</v>
      </c>
      <c r="AM62" s="198">
        <f t="shared" si="21"/>
        <v>0</v>
      </c>
      <c r="AN62" s="198">
        <f t="shared" si="21"/>
        <v>0</v>
      </c>
      <c r="AO62" s="198">
        <f t="shared" si="21"/>
        <v>0</v>
      </c>
      <c r="AP62" s="198">
        <f t="shared" si="21"/>
        <v>0</v>
      </c>
      <c r="AQ62" s="198">
        <f t="shared" si="21"/>
        <v>0</v>
      </c>
      <c r="AR62" s="21"/>
      <c r="AS62" s="193"/>
      <c r="AT62" s="153"/>
      <c r="AU62" s="153"/>
    </row>
    <row r="63" spans="2:54" s="126" customFormat="1" ht="12">
      <c r="B63" s="12" t="s">
        <v>99</v>
      </c>
      <c r="C63" s="23">
        <f>C8*C7*10^6</f>
        <v>1742857.7586206894</v>
      </c>
      <c r="D63" s="175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  <c r="AS63" s="193"/>
      <c r="AT63" s="153"/>
      <c r="AU63" s="153"/>
      <c r="BB63" s="199"/>
    </row>
    <row r="64" spans="2:54" s="126" customFormat="1" ht="12">
      <c r="B64" s="126" t="s">
        <v>100</v>
      </c>
      <c r="D64" s="175">
        <f aca="true" t="shared" si="22" ref="D64:AQ64">+$C63*D62</f>
        <v>348571.5517241379</v>
      </c>
      <c r="E64" s="175">
        <f>+$C63*E62</f>
        <v>557714.4827586206</v>
      </c>
      <c r="F64" s="175">
        <f>+$C63*F62</f>
        <v>334628.68965517235</v>
      </c>
      <c r="G64" s="175">
        <f>+$C63*G62</f>
        <v>200777.2137931034</v>
      </c>
      <c r="H64" s="175">
        <f>+$C63*H62</f>
        <v>200777.2137931034</v>
      </c>
      <c r="I64" s="175">
        <f t="shared" si="22"/>
        <v>100388.6068965517</v>
      </c>
      <c r="J64" s="175">
        <f t="shared" si="22"/>
        <v>0</v>
      </c>
      <c r="K64" s="175">
        <f t="shared" si="22"/>
        <v>0</v>
      </c>
      <c r="L64" s="175">
        <f t="shared" si="22"/>
        <v>0</v>
      </c>
      <c r="M64" s="175">
        <f t="shared" si="22"/>
        <v>0</v>
      </c>
      <c r="N64" s="175">
        <f t="shared" si="22"/>
        <v>0</v>
      </c>
      <c r="O64" s="175">
        <f t="shared" si="22"/>
        <v>0</v>
      </c>
      <c r="P64" s="175">
        <f t="shared" si="22"/>
        <v>0</v>
      </c>
      <c r="Q64" s="175">
        <f t="shared" si="22"/>
        <v>0</v>
      </c>
      <c r="R64" s="175">
        <f t="shared" si="22"/>
        <v>0</v>
      </c>
      <c r="S64" s="175">
        <f t="shared" si="22"/>
        <v>0</v>
      </c>
      <c r="T64" s="175">
        <f t="shared" si="22"/>
        <v>0</v>
      </c>
      <c r="U64" s="175">
        <f t="shared" si="22"/>
        <v>0</v>
      </c>
      <c r="V64" s="175">
        <f t="shared" si="22"/>
        <v>0</v>
      </c>
      <c r="W64" s="175">
        <f t="shared" si="22"/>
        <v>0</v>
      </c>
      <c r="X64" s="175">
        <f t="shared" si="22"/>
        <v>0</v>
      </c>
      <c r="Y64" s="175">
        <f t="shared" si="22"/>
        <v>0</v>
      </c>
      <c r="Z64" s="175">
        <f t="shared" si="22"/>
        <v>0</v>
      </c>
      <c r="AA64" s="175">
        <f t="shared" si="22"/>
        <v>0</v>
      </c>
      <c r="AB64" s="175">
        <f t="shared" si="22"/>
        <v>0</v>
      </c>
      <c r="AC64" s="175">
        <f t="shared" si="22"/>
        <v>0</v>
      </c>
      <c r="AD64" s="175">
        <f t="shared" si="22"/>
        <v>0</v>
      </c>
      <c r="AE64" s="175">
        <f t="shared" si="22"/>
        <v>0</v>
      </c>
      <c r="AF64" s="175">
        <f t="shared" si="22"/>
        <v>0</v>
      </c>
      <c r="AG64" s="175">
        <f t="shared" si="22"/>
        <v>0</v>
      </c>
      <c r="AH64" s="175">
        <f t="shared" si="22"/>
        <v>0</v>
      </c>
      <c r="AI64" s="175">
        <f t="shared" si="22"/>
        <v>0</v>
      </c>
      <c r="AJ64" s="175">
        <f t="shared" si="22"/>
        <v>0</v>
      </c>
      <c r="AK64" s="175">
        <f t="shared" si="22"/>
        <v>0</v>
      </c>
      <c r="AL64" s="175">
        <f t="shared" si="22"/>
        <v>0</v>
      </c>
      <c r="AM64" s="175">
        <f t="shared" si="22"/>
        <v>0</v>
      </c>
      <c r="AN64" s="175">
        <f t="shared" si="22"/>
        <v>0</v>
      </c>
      <c r="AO64" s="175">
        <f t="shared" si="22"/>
        <v>0</v>
      </c>
      <c r="AP64" s="175">
        <f t="shared" si="22"/>
        <v>0</v>
      </c>
      <c r="AQ64" s="175">
        <f t="shared" si="22"/>
        <v>0</v>
      </c>
      <c r="AR64" s="200"/>
      <c r="AS64" s="193"/>
      <c r="AT64" s="193"/>
      <c r="AU64" s="193"/>
      <c r="AW64" s="195"/>
      <c r="AX64" s="195"/>
      <c r="BA64" s="195"/>
      <c r="BB64" s="195"/>
    </row>
    <row r="65" spans="2:50" s="126" customFormat="1" ht="12">
      <c r="B65" s="12" t="s">
        <v>19</v>
      </c>
      <c r="C65" s="23"/>
      <c r="D65" s="184">
        <f aca="true" t="shared" si="23" ref="D65:AQ65">+D45</f>
        <v>-47057.15948275861</v>
      </c>
      <c r="E65" s="184">
        <f t="shared" si="23"/>
        <v>-45777.93144963077</v>
      </c>
      <c r="F65" s="184">
        <f t="shared" si="23"/>
        <v>-44421.94973451526</v>
      </c>
      <c r="G65" s="184">
        <f t="shared" si="23"/>
        <v>-42984.60911649282</v>
      </c>
      <c r="H65" s="184">
        <f t="shared" si="23"/>
        <v>-41461.02806138904</v>
      </c>
      <c r="I65" s="184">
        <f t="shared" si="23"/>
        <v>-39846.032142979035</v>
      </c>
      <c r="J65" s="184">
        <f t="shared" si="23"/>
        <v>-38134.13646946442</v>
      </c>
      <c r="K65" s="184">
        <f t="shared" si="23"/>
        <v>-36319.527055538936</v>
      </c>
      <c r="L65" s="184">
        <f t="shared" si="23"/>
        <v>-34396.04107677792</v>
      </c>
      <c r="M65" s="184">
        <f t="shared" si="23"/>
        <v>-32357.14593929124</v>
      </c>
      <c r="N65" s="184">
        <f t="shared" si="23"/>
        <v>-30195.917093555363</v>
      </c>
      <c r="O65" s="184">
        <f t="shared" si="23"/>
        <v>-27905.01451707533</v>
      </c>
      <c r="P65" s="184">
        <f t="shared" si="23"/>
        <v>-25476.657786006497</v>
      </c>
      <c r="Q65" s="184">
        <f t="shared" si="23"/>
        <v>-22902.599651073535</v>
      </c>
      <c r="R65" s="184">
        <f t="shared" si="23"/>
        <v>-20174.098028044595</v>
      </c>
      <c r="S65" s="184">
        <f t="shared" si="23"/>
        <v>-17281.88630763392</v>
      </c>
      <c r="T65" s="184">
        <f t="shared" si="23"/>
        <v>-14216.141883998598</v>
      </c>
      <c r="U65" s="184">
        <f t="shared" si="23"/>
        <v>-10966.452794945162</v>
      </c>
      <c r="V65" s="184">
        <f t="shared" si="23"/>
        <v>-7521.782360548519</v>
      </c>
      <c r="W65" s="184">
        <f t="shared" si="23"/>
        <v>-3870.4317000880774</v>
      </c>
      <c r="X65" s="184">
        <f t="shared" si="23"/>
        <v>0</v>
      </c>
      <c r="Y65" s="184">
        <f t="shared" si="23"/>
        <v>0</v>
      </c>
      <c r="Z65" s="184">
        <f t="shared" si="23"/>
        <v>0</v>
      </c>
      <c r="AA65" s="184">
        <f t="shared" si="23"/>
        <v>0</v>
      </c>
      <c r="AB65" s="184">
        <f t="shared" si="23"/>
        <v>0</v>
      </c>
      <c r="AC65" s="184">
        <f t="shared" si="23"/>
        <v>0</v>
      </c>
      <c r="AD65" s="184">
        <f t="shared" si="23"/>
        <v>0</v>
      </c>
      <c r="AE65" s="184">
        <f t="shared" si="23"/>
        <v>0</v>
      </c>
      <c r="AF65" s="184">
        <f t="shared" si="23"/>
        <v>0</v>
      </c>
      <c r="AG65" s="184">
        <f t="shared" si="23"/>
        <v>0</v>
      </c>
      <c r="AH65" s="184">
        <f t="shared" si="23"/>
        <v>0</v>
      </c>
      <c r="AI65" s="184">
        <f t="shared" si="23"/>
        <v>0</v>
      </c>
      <c r="AJ65" s="184">
        <f t="shared" si="23"/>
        <v>0</v>
      </c>
      <c r="AK65" s="184">
        <f t="shared" si="23"/>
        <v>0</v>
      </c>
      <c r="AL65" s="184">
        <f t="shared" si="23"/>
        <v>0</v>
      </c>
      <c r="AM65" s="184">
        <f t="shared" si="23"/>
        <v>0</v>
      </c>
      <c r="AN65" s="184">
        <f t="shared" si="23"/>
        <v>0</v>
      </c>
      <c r="AO65" s="184">
        <f t="shared" si="23"/>
        <v>0</v>
      </c>
      <c r="AP65" s="184">
        <f t="shared" si="23"/>
        <v>0</v>
      </c>
      <c r="AQ65" s="184">
        <f t="shared" si="23"/>
        <v>0</v>
      </c>
      <c r="AR65" s="177"/>
      <c r="AS65" s="193"/>
      <c r="AT65" s="193"/>
      <c r="AU65" s="193"/>
      <c r="AW65" s="195"/>
      <c r="AX65" s="193"/>
    </row>
    <row r="66" spans="2:54" s="126" customFormat="1" ht="12">
      <c r="B66" s="12" t="s">
        <v>101</v>
      </c>
      <c r="C66" s="23"/>
      <c r="D66" s="184">
        <f aca="true" t="shared" si="24" ref="D66:AQ66">+D61-D64+D65</f>
        <v>-395628.7112068965</v>
      </c>
      <c r="E66" s="184">
        <f t="shared" si="24"/>
        <v>-603492.4142082514</v>
      </c>
      <c r="F66" s="184">
        <f t="shared" si="24"/>
        <v>-379050.6393896876</v>
      </c>
      <c r="G66" s="184">
        <f t="shared" si="24"/>
        <v>-243761.82290959623</v>
      </c>
      <c r="H66" s="184">
        <f t="shared" si="24"/>
        <v>-242238.24185449246</v>
      </c>
      <c r="I66" s="184">
        <f t="shared" si="24"/>
        <v>-140234.63903953074</v>
      </c>
      <c r="J66" s="184">
        <f t="shared" si="24"/>
        <v>-38134.13646946442</v>
      </c>
      <c r="K66" s="184">
        <f t="shared" si="24"/>
        <v>-36319.527055538936</v>
      </c>
      <c r="L66" s="184">
        <f t="shared" si="24"/>
        <v>-34396.04107677792</v>
      </c>
      <c r="M66" s="184">
        <f t="shared" si="24"/>
        <v>-32357.14593929124</v>
      </c>
      <c r="N66" s="184">
        <f t="shared" si="24"/>
        <v>-30195.917093555363</v>
      </c>
      <c r="O66" s="184">
        <f t="shared" si="24"/>
        <v>-27905.01451707533</v>
      </c>
      <c r="P66" s="184">
        <f t="shared" si="24"/>
        <v>-25476.657786006497</v>
      </c>
      <c r="Q66" s="184">
        <f t="shared" si="24"/>
        <v>-22902.599651073535</v>
      </c>
      <c r="R66" s="184">
        <f t="shared" si="24"/>
        <v>-20174.098028044595</v>
      </c>
      <c r="S66" s="184">
        <f t="shared" si="24"/>
        <v>-17281.88630763392</v>
      </c>
      <c r="T66" s="184">
        <f t="shared" si="24"/>
        <v>-14216.141883998598</v>
      </c>
      <c r="U66" s="184">
        <f t="shared" si="24"/>
        <v>-10966.452794945162</v>
      </c>
      <c r="V66" s="184">
        <f t="shared" si="24"/>
        <v>-7521.782360548519</v>
      </c>
      <c r="W66" s="184">
        <f t="shared" si="24"/>
        <v>-3870.4317000880774</v>
      </c>
      <c r="X66" s="184">
        <f t="shared" si="24"/>
        <v>0</v>
      </c>
      <c r="Y66" s="184">
        <f t="shared" si="24"/>
        <v>0</v>
      </c>
      <c r="Z66" s="184">
        <f t="shared" si="24"/>
        <v>0</v>
      </c>
      <c r="AA66" s="184">
        <f t="shared" si="24"/>
        <v>0</v>
      </c>
      <c r="AB66" s="184">
        <f t="shared" si="24"/>
        <v>0</v>
      </c>
      <c r="AC66" s="184">
        <f t="shared" si="24"/>
        <v>0</v>
      </c>
      <c r="AD66" s="184">
        <f t="shared" si="24"/>
        <v>0</v>
      </c>
      <c r="AE66" s="184">
        <f t="shared" si="24"/>
        <v>0</v>
      </c>
      <c r="AF66" s="184">
        <f t="shared" si="24"/>
        <v>0</v>
      </c>
      <c r="AG66" s="184">
        <f t="shared" si="24"/>
        <v>0</v>
      </c>
      <c r="AH66" s="184">
        <f t="shared" si="24"/>
        <v>0</v>
      </c>
      <c r="AI66" s="184">
        <f t="shared" si="24"/>
        <v>0</v>
      </c>
      <c r="AJ66" s="184">
        <f t="shared" si="24"/>
        <v>0</v>
      </c>
      <c r="AK66" s="184">
        <f t="shared" si="24"/>
        <v>0</v>
      </c>
      <c r="AL66" s="184">
        <f t="shared" si="24"/>
        <v>0</v>
      </c>
      <c r="AM66" s="184">
        <f t="shared" si="24"/>
        <v>0</v>
      </c>
      <c r="AN66" s="184">
        <f t="shared" si="24"/>
        <v>0</v>
      </c>
      <c r="AO66" s="184">
        <f t="shared" si="24"/>
        <v>0</v>
      </c>
      <c r="AP66" s="184">
        <f t="shared" si="24"/>
        <v>0</v>
      </c>
      <c r="AQ66" s="184">
        <f t="shared" si="24"/>
        <v>0</v>
      </c>
      <c r="AR66" s="177"/>
      <c r="AS66" s="193"/>
      <c r="AT66" s="193"/>
      <c r="AU66" s="193"/>
      <c r="AW66" s="193"/>
      <c r="AX66" s="193"/>
      <c r="BA66" s="201"/>
      <c r="BB66" s="201"/>
    </row>
    <row r="67" spans="2:50" s="126" customFormat="1" ht="12">
      <c r="B67" s="12" t="s">
        <v>102</v>
      </c>
      <c r="C67" s="198">
        <f>+H8</f>
        <v>0.0575</v>
      </c>
      <c r="D67" s="315">
        <f>-$C$67*D66</f>
        <v>22748.650894396553</v>
      </c>
      <c r="E67" s="184">
        <f aca="true" t="shared" si="25" ref="E67:AQ67">-$C$67*E66</f>
        <v>34700.813816974456</v>
      </c>
      <c r="F67" s="184">
        <f t="shared" si="25"/>
        <v>21795.41176490704</v>
      </c>
      <c r="G67" s="184">
        <f t="shared" si="25"/>
        <v>14016.304817301783</v>
      </c>
      <c r="H67" s="184">
        <f t="shared" si="25"/>
        <v>13928.698906633317</v>
      </c>
      <c r="I67" s="184">
        <f t="shared" si="25"/>
        <v>8063.491744773018</v>
      </c>
      <c r="J67" s="184">
        <f t="shared" si="25"/>
        <v>2192.7128469942045</v>
      </c>
      <c r="K67" s="184">
        <f t="shared" si="25"/>
        <v>2088.3728056934888</v>
      </c>
      <c r="L67" s="184">
        <f t="shared" si="25"/>
        <v>1977.7723619147303</v>
      </c>
      <c r="M67" s="184">
        <f t="shared" si="25"/>
        <v>1860.5358915092463</v>
      </c>
      <c r="N67" s="184">
        <f t="shared" si="25"/>
        <v>1736.2652328794334</v>
      </c>
      <c r="O67" s="184">
        <f t="shared" si="25"/>
        <v>1604.5383347318316</v>
      </c>
      <c r="P67" s="184">
        <f t="shared" si="25"/>
        <v>1464.9078226953736</v>
      </c>
      <c r="Q67" s="184">
        <f t="shared" si="25"/>
        <v>1316.8994799367283</v>
      </c>
      <c r="R67" s="184">
        <f t="shared" si="25"/>
        <v>1160.0106366125642</v>
      </c>
      <c r="S67" s="184">
        <f t="shared" si="25"/>
        <v>993.7084626889504</v>
      </c>
      <c r="T67" s="184">
        <f t="shared" si="25"/>
        <v>817.4281583299195</v>
      </c>
      <c r="U67" s="184">
        <f t="shared" si="25"/>
        <v>630.5710357093468</v>
      </c>
      <c r="V67" s="184">
        <f t="shared" si="25"/>
        <v>432.5024857315399</v>
      </c>
      <c r="W67" s="184">
        <f t="shared" si="25"/>
        <v>222.54982275506447</v>
      </c>
      <c r="X67" s="184">
        <f t="shared" si="25"/>
        <v>0</v>
      </c>
      <c r="Y67" s="184">
        <f t="shared" si="25"/>
        <v>0</v>
      </c>
      <c r="Z67" s="184">
        <f t="shared" si="25"/>
        <v>0</v>
      </c>
      <c r="AA67" s="184">
        <f t="shared" si="25"/>
        <v>0</v>
      </c>
      <c r="AB67" s="184">
        <f t="shared" si="25"/>
        <v>0</v>
      </c>
      <c r="AC67" s="184">
        <f t="shared" si="25"/>
        <v>0</v>
      </c>
      <c r="AD67" s="184">
        <f t="shared" si="25"/>
        <v>0</v>
      </c>
      <c r="AE67" s="184">
        <f t="shared" si="25"/>
        <v>0</v>
      </c>
      <c r="AF67" s="184">
        <f t="shared" si="25"/>
        <v>0</v>
      </c>
      <c r="AG67" s="184">
        <f t="shared" si="25"/>
        <v>0</v>
      </c>
      <c r="AH67" s="184">
        <f t="shared" si="25"/>
        <v>0</v>
      </c>
      <c r="AI67" s="184">
        <f t="shared" si="25"/>
        <v>0</v>
      </c>
      <c r="AJ67" s="184">
        <f t="shared" si="25"/>
        <v>0</v>
      </c>
      <c r="AK67" s="184">
        <f t="shared" si="25"/>
        <v>0</v>
      </c>
      <c r="AL67" s="184">
        <f t="shared" si="25"/>
        <v>0</v>
      </c>
      <c r="AM67" s="184">
        <f t="shared" si="25"/>
        <v>0</v>
      </c>
      <c r="AN67" s="184">
        <f t="shared" si="25"/>
        <v>0</v>
      </c>
      <c r="AO67" s="184">
        <f t="shared" si="25"/>
        <v>0</v>
      </c>
      <c r="AP67" s="184">
        <f t="shared" si="25"/>
        <v>0</v>
      </c>
      <c r="AQ67" s="184">
        <f t="shared" si="25"/>
        <v>0</v>
      </c>
      <c r="AR67" s="177"/>
      <c r="AS67" s="195"/>
      <c r="AT67" s="195"/>
      <c r="AU67" s="195"/>
      <c r="AW67" s="195"/>
      <c r="AX67" s="195"/>
    </row>
    <row r="68" spans="2:54" s="126" customFormat="1" ht="12">
      <c r="B68" s="12"/>
      <c r="C68" s="23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21"/>
      <c r="AS68" s="34"/>
      <c r="AT68" s="34"/>
      <c r="AU68" s="34"/>
      <c r="AW68" s="34"/>
      <c r="AX68" s="34"/>
      <c r="BA68" s="202"/>
      <c r="BB68" s="202"/>
    </row>
    <row r="69" spans="2:50" s="126" customFormat="1" ht="12">
      <c r="B69" s="9" t="s">
        <v>103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177"/>
      <c r="AS69" s="193"/>
      <c r="AT69" s="193"/>
      <c r="AU69" s="193"/>
      <c r="AW69" s="177"/>
      <c r="AX69" s="177"/>
    </row>
    <row r="70" spans="2:50" s="126" customFormat="1" ht="12">
      <c r="B70" s="12" t="s">
        <v>97</v>
      </c>
      <c r="C70" s="23"/>
      <c r="D70" s="175">
        <v>0</v>
      </c>
      <c r="E70" s="175">
        <v>0</v>
      </c>
      <c r="F70" s="175">
        <v>0</v>
      </c>
      <c r="G70" s="175">
        <v>0</v>
      </c>
      <c r="H70" s="175">
        <v>0</v>
      </c>
      <c r="I70" s="175">
        <v>0</v>
      </c>
      <c r="J70" s="175">
        <v>0</v>
      </c>
      <c r="K70" s="175">
        <v>0</v>
      </c>
      <c r="L70" s="175">
        <v>0</v>
      </c>
      <c r="M70" s="175">
        <v>0</v>
      </c>
      <c r="N70" s="175">
        <v>0</v>
      </c>
      <c r="O70" s="175">
        <v>0</v>
      </c>
      <c r="P70" s="175">
        <v>0</v>
      </c>
      <c r="Q70" s="175">
        <v>0</v>
      </c>
      <c r="R70" s="175">
        <v>0</v>
      </c>
      <c r="S70" s="175">
        <v>0</v>
      </c>
      <c r="T70" s="175">
        <v>0</v>
      </c>
      <c r="U70" s="175">
        <v>0</v>
      </c>
      <c r="V70" s="175">
        <v>0</v>
      </c>
      <c r="W70" s="175">
        <v>0</v>
      </c>
      <c r="X70" s="175">
        <v>0</v>
      </c>
      <c r="Y70" s="175">
        <f aca="true" t="shared" si="26" ref="Y70:AQ70">(Y42+Y36+Y48)</f>
        <v>0</v>
      </c>
      <c r="Z70" s="175">
        <f t="shared" si="26"/>
        <v>0</v>
      </c>
      <c r="AA70" s="175">
        <f t="shared" si="26"/>
        <v>0</v>
      </c>
      <c r="AB70" s="175">
        <f t="shared" si="26"/>
        <v>0</v>
      </c>
      <c r="AC70" s="175">
        <f t="shared" si="26"/>
        <v>0</v>
      </c>
      <c r="AD70" s="175">
        <f t="shared" si="26"/>
        <v>0</v>
      </c>
      <c r="AE70" s="175">
        <f t="shared" si="26"/>
        <v>0</v>
      </c>
      <c r="AF70" s="175">
        <f t="shared" si="26"/>
        <v>0</v>
      </c>
      <c r="AG70" s="175">
        <f t="shared" si="26"/>
        <v>0</v>
      </c>
      <c r="AH70" s="175">
        <f t="shared" si="26"/>
        <v>0</v>
      </c>
      <c r="AI70" s="175">
        <f t="shared" si="26"/>
        <v>0</v>
      </c>
      <c r="AJ70" s="175">
        <f t="shared" si="26"/>
        <v>0</v>
      </c>
      <c r="AK70" s="175">
        <f t="shared" si="26"/>
        <v>0</v>
      </c>
      <c r="AL70" s="175">
        <f t="shared" si="26"/>
        <v>0</v>
      </c>
      <c r="AM70" s="175">
        <f t="shared" si="26"/>
        <v>0</v>
      </c>
      <c r="AN70" s="175">
        <f t="shared" si="26"/>
        <v>0</v>
      </c>
      <c r="AO70" s="175">
        <f t="shared" si="26"/>
        <v>0</v>
      </c>
      <c r="AP70" s="175">
        <f t="shared" si="26"/>
        <v>0</v>
      </c>
      <c r="AQ70" s="175">
        <f t="shared" si="26"/>
        <v>0</v>
      </c>
      <c r="AR70" s="21"/>
      <c r="AS70" s="34"/>
      <c r="AT70" s="34"/>
      <c r="AU70" s="34"/>
      <c r="AW70" s="34"/>
      <c r="AX70" s="34"/>
    </row>
    <row r="71" spans="2:48" s="126" customFormat="1" ht="12">
      <c r="B71" s="12" t="s">
        <v>104</v>
      </c>
      <c r="C71" s="23"/>
      <c r="D71" s="198">
        <f aca="true" t="shared" si="27" ref="D71:AQ71">VLOOKUP($H$12,$C$137:$AQ$144,D136+1)</f>
        <v>0.2</v>
      </c>
      <c r="E71" s="198">
        <f t="shared" si="27"/>
        <v>0.32</v>
      </c>
      <c r="F71" s="198">
        <f t="shared" si="27"/>
        <v>0.192</v>
      </c>
      <c r="G71" s="198">
        <f t="shared" si="27"/>
        <v>0.1152</v>
      </c>
      <c r="H71" s="198">
        <f t="shared" si="27"/>
        <v>0.1152</v>
      </c>
      <c r="I71" s="198">
        <f t="shared" si="27"/>
        <v>0.0576</v>
      </c>
      <c r="J71" s="198">
        <f t="shared" si="27"/>
        <v>0</v>
      </c>
      <c r="K71" s="198">
        <f t="shared" si="27"/>
        <v>0</v>
      </c>
      <c r="L71" s="198">
        <f t="shared" si="27"/>
        <v>0</v>
      </c>
      <c r="M71" s="198">
        <f t="shared" si="27"/>
        <v>0</v>
      </c>
      <c r="N71" s="198">
        <f t="shared" si="27"/>
        <v>0</v>
      </c>
      <c r="O71" s="198">
        <f t="shared" si="27"/>
        <v>0</v>
      </c>
      <c r="P71" s="198">
        <f t="shared" si="27"/>
        <v>0</v>
      </c>
      <c r="Q71" s="198">
        <f t="shared" si="27"/>
        <v>0</v>
      </c>
      <c r="R71" s="198">
        <f t="shared" si="27"/>
        <v>0</v>
      </c>
      <c r="S71" s="198">
        <f t="shared" si="27"/>
        <v>0</v>
      </c>
      <c r="T71" s="198">
        <f t="shared" si="27"/>
        <v>0</v>
      </c>
      <c r="U71" s="198">
        <f t="shared" si="27"/>
        <v>0</v>
      </c>
      <c r="V71" s="198">
        <f t="shared" si="27"/>
        <v>0</v>
      </c>
      <c r="W71" s="198">
        <f t="shared" si="27"/>
        <v>0</v>
      </c>
      <c r="X71" s="198">
        <f t="shared" si="27"/>
        <v>0</v>
      </c>
      <c r="Y71" s="198">
        <f t="shared" si="27"/>
        <v>0</v>
      </c>
      <c r="Z71" s="198">
        <f t="shared" si="27"/>
        <v>0</v>
      </c>
      <c r="AA71" s="198">
        <f t="shared" si="27"/>
        <v>0</v>
      </c>
      <c r="AB71" s="198">
        <f t="shared" si="27"/>
        <v>0</v>
      </c>
      <c r="AC71" s="198">
        <f t="shared" si="27"/>
        <v>0</v>
      </c>
      <c r="AD71" s="198">
        <f t="shared" si="27"/>
        <v>0</v>
      </c>
      <c r="AE71" s="198">
        <f t="shared" si="27"/>
        <v>0</v>
      </c>
      <c r="AF71" s="198">
        <f t="shared" si="27"/>
        <v>0</v>
      </c>
      <c r="AG71" s="198">
        <f t="shared" si="27"/>
        <v>0</v>
      </c>
      <c r="AH71" s="198">
        <f t="shared" si="27"/>
        <v>0</v>
      </c>
      <c r="AI71" s="198">
        <f t="shared" si="27"/>
        <v>0</v>
      </c>
      <c r="AJ71" s="198">
        <f t="shared" si="27"/>
        <v>0</v>
      </c>
      <c r="AK71" s="198">
        <f t="shared" si="27"/>
        <v>0</v>
      </c>
      <c r="AL71" s="198">
        <f t="shared" si="27"/>
        <v>0</v>
      </c>
      <c r="AM71" s="198">
        <f t="shared" si="27"/>
        <v>0</v>
      </c>
      <c r="AN71" s="198">
        <f t="shared" si="27"/>
        <v>0</v>
      </c>
      <c r="AO71" s="198">
        <f t="shared" si="27"/>
        <v>0</v>
      </c>
      <c r="AP71" s="198">
        <f t="shared" si="27"/>
        <v>0</v>
      </c>
      <c r="AQ71" s="198">
        <f t="shared" si="27"/>
        <v>0</v>
      </c>
      <c r="AU71" s="153"/>
      <c r="AV71" s="177"/>
    </row>
    <row r="72" spans="2:47" s="126" customFormat="1" ht="12">
      <c r="B72" s="12" t="s">
        <v>105</v>
      </c>
      <c r="C72" s="23">
        <f>C8*C7*10^6*(1-H11)</f>
        <v>1481429.0948275859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U72" s="153"/>
    </row>
    <row r="73" spans="2:47" s="126" customFormat="1" ht="12">
      <c r="B73" s="12" t="s">
        <v>106</v>
      </c>
      <c r="C73" s="23"/>
      <c r="D73" s="184">
        <f aca="true" t="shared" si="28" ref="D73:AQ73">+$C72*D71</f>
        <v>296285.81896551716</v>
      </c>
      <c r="E73" s="184">
        <f>+$C72*E71</f>
        <v>474057.3103448275</v>
      </c>
      <c r="F73" s="184">
        <f>+$C72*F71</f>
        <v>284434.3862068965</v>
      </c>
      <c r="G73" s="184">
        <f>+$C72*G71</f>
        <v>170660.6317241379</v>
      </c>
      <c r="H73" s="184">
        <f>+$C72*H71</f>
        <v>170660.6317241379</v>
      </c>
      <c r="I73" s="184">
        <f t="shared" si="28"/>
        <v>85330.31586206895</v>
      </c>
      <c r="J73" s="184">
        <f t="shared" si="28"/>
        <v>0</v>
      </c>
      <c r="K73" s="184">
        <f t="shared" si="28"/>
        <v>0</v>
      </c>
      <c r="L73" s="184">
        <f t="shared" si="28"/>
        <v>0</v>
      </c>
      <c r="M73" s="184">
        <f t="shared" si="28"/>
        <v>0</v>
      </c>
      <c r="N73" s="184">
        <f t="shared" si="28"/>
        <v>0</v>
      </c>
      <c r="O73" s="184">
        <f t="shared" si="28"/>
        <v>0</v>
      </c>
      <c r="P73" s="184">
        <f t="shared" si="28"/>
        <v>0</v>
      </c>
      <c r="Q73" s="184">
        <f t="shared" si="28"/>
        <v>0</v>
      </c>
      <c r="R73" s="184">
        <f t="shared" si="28"/>
        <v>0</v>
      </c>
      <c r="S73" s="184">
        <f t="shared" si="28"/>
        <v>0</v>
      </c>
      <c r="T73" s="184">
        <f t="shared" si="28"/>
        <v>0</v>
      </c>
      <c r="U73" s="184">
        <f t="shared" si="28"/>
        <v>0</v>
      </c>
      <c r="V73" s="184">
        <f t="shared" si="28"/>
        <v>0</v>
      </c>
      <c r="W73" s="184">
        <f t="shared" si="28"/>
        <v>0</v>
      </c>
      <c r="X73" s="184">
        <f t="shared" si="28"/>
        <v>0</v>
      </c>
      <c r="Y73" s="184">
        <f t="shared" si="28"/>
        <v>0</v>
      </c>
      <c r="Z73" s="184">
        <f t="shared" si="28"/>
        <v>0</v>
      </c>
      <c r="AA73" s="184">
        <f t="shared" si="28"/>
        <v>0</v>
      </c>
      <c r="AB73" s="184">
        <f t="shared" si="28"/>
        <v>0</v>
      </c>
      <c r="AC73" s="184">
        <f t="shared" si="28"/>
        <v>0</v>
      </c>
      <c r="AD73" s="184">
        <f t="shared" si="28"/>
        <v>0</v>
      </c>
      <c r="AE73" s="184">
        <f t="shared" si="28"/>
        <v>0</v>
      </c>
      <c r="AF73" s="184">
        <f t="shared" si="28"/>
        <v>0</v>
      </c>
      <c r="AG73" s="184">
        <f t="shared" si="28"/>
        <v>0</v>
      </c>
      <c r="AH73" s="184">
        <f t="shared" si="28"/>
        <v>0</v>
      </c>
      <c r="AI73" s="184">
        <f t="shared" si="28"/>
        <v>0</v>
      </c>
      <c r="AJ73" s="184">
        <f t="shared" si="28"/>
        <v>0</v>
      </c>
      <c r="AK73" s="184">
        <f t="shared" si="28"/>
        <v>0</v>
      </c>
      <c r="AL73" s="184">
        <f t="shared" si="28"/>
        <v>0</v>
      </c>
      <c r="AM73" s="184">
        <f t="shared" si="28"/>
        <v>0</v>
      </c>
      <c r="AN73" s="184">
        <f t="shared" si="28"/>
        <v>0</v>
      </c>
      <c r="AO73" s="184">
        <f t="shared" si="28"/>
        <v>0</v>
      </c>
      <c r="AP73" s="184">
        <f t="shared" si="28"/>
        <v>0</v>
      </c>
      <c r="AQ73" s="184">
        <f t="shared" si="28"/>
        <v>0</v>
      </c>
      <c r="AR73" s="21"/>
      <c r="AS73" s="193"/>
      <c r="AT73" s="153"/>
      <c r="AU73" s="153"/>
    </row>
    <row r="74" spans="2:47" s="126" customFormat="1" ht="12">
      <c r="B74" s="12" t="s">
        <v>19</v>
      </c>
      <c r="C74" s="23"/>
      <c r="D74" s="184">
        <f aca="true" t="shared" si="29" ref="D74:AQ74">+D45</f>
        <v>-47057.15948275861</v>
      </c>
      <c r="E74" s="184">
        <f t="shared" si="29"/>
        <v>-45777.93144963077</v>
      </c>
      <c r="F74" s="184">
        <f t="shared" si="29"/>
        <v>-44421.94973451526</v>
      </c>
      <c r="G74" s="184">
        <f t="shared" si="29"/>
        <v>-42984.60911649282</v>
      </c>
      <c r="H74" s="184">
        <f t="shared" si="29"/>
        <v>-41461.02806138904</v>
      </c>
      <c r="I74" s="184">
        <f t="shared" si="29"/>
        <v>-39846.032142979035</v>
      </c>
      <c r="J74" s="184">
        <f t="shared" si="29"/>
        <v>-38134.13646946442</v>
      </c>
      <c r="K74" s="184">
        <f t="shared" si="29"/>
        <v>-36319.527055538936</v>
      </c>
      <c r="L74" s="184">
        <f t="shared" si="29"/>
        <v>-34396.04107677792</v>
      </c>
      <c r="M74" s="184">
        <f t="shared" si="29"/>
        <v>-32357.14593929124</v>
      </c>
      <c r="N74" s="184">
        <f t="shared" si="29"/>
        <v>-30195.917093555363</v>
      </c>
      <c r="O74" s="184">
        <f t="shared" si="29"/>
        <v>-27905.01451707533</v>
      </c>
      <c r="P74" s="184">
        <f t="shared" si="29"/>
        <v>-25476.657786006497</v>
      </c>
      <c r="Q74" s="184">
        <f t="shared" si="29"/>
        <v>-22902.599651073535</v>
      </c>
      <c r="R74" s="184">
        <f t="shared" si="29"/>
        <v>-20174.098028044595</v>
      </c>
      <c r="S74" s="184">
        <f t="shared" si="29"/>
        <v>-17281.88630763392</v>
      </c>
      <c r="T74" s="184">
        <f t="shared" si="29"/>
        <v>-14216.141883998598</v>
      </c>
      <c r="U74" s="184">
        <f t="shared" si="29"/>
        <v>-10966.452794945162</v>
      </c>
      <c r="V74" s="184">
        <f t="shared" si="29"/>
        <v>-7521.782360548519</v>
      </c>
      <c r="W74" s="184">
        <f t="shared" si="29"/>
        <v>-3870.4317000880774</v>
      </c>
      <c r="X74" s="184">
        <f t="shared" si="29"/>
        <v>0</v>
      </c>
      <c r="Y74" s="184">
        <f t="shared" si="29"/>
        <v>0</v>
      </c>
      <c r="Z74" s="184">
        <f t="shared" si="29"/>
        <v>0</v>
      </c>
      <c r="AA74" s="184">
        <f t="shared" si="29"/>
        <v>0</v>
      </c>
      <c r="AB74" s="184">
        <f t="shared" si="29"/>
        <v>0</v>
      </c>
      <c r="AC74" s="184">
        <f t="shared" si="29"/>
        <v>0</v>
      </c>
      <c r="AD74" s="184">
        <f t="shared" si="29"/>
        <v>0</v>
      </c>
      <c r="AE74" s="184">
        <f t="shared" si="29"/>
        <v>0</v>
      </c>
      <c r="AF74" s="184">
        <f t="shared" si="29"/>
        <v>0</v>
      </c>
      <c r="AG74" s="184">
        <f t="shared" si="29"/>
        <v>0</v>
      </c>
      <c r="AH74" s="184">
        <f t="shared" si="29"/>
        <v>0</v>
      </c>
      <c r="AI74" s="184">
        <f t="shared" si="29"/>
        <v>0</v>
      </c>
      <c r="AJ74" s="184">
        <f t="shared" si="29"/>
        <v>0</v>
      </c>
      <c r="AK74" s="184">
        <f t="shared" si="29"/>
        <v>0</v>
      </c>
      <c r="AL74" s="184">
        <f t="shared" si="29"/>
        <v>0</v>
      </c>
      <c r="AM74" s="184">
        <f t="shared" si="29"/>
        <v>0</v>
      </c>
      <c r="AN74" s="184">
        <f t="shared" si="29"/>
        <v>0</v>
      </c>
      <c r="AO74" s="184">
        <f t="shared" si="29"/>
        <v>0</v>
      </c>
      <c r="AP74" s="184">
        <f t="shared" si="29"/>
        <v>0</v>
      </c>
      <c r="AQ74" s="184">
        <f t="shared" si="29"/>
        <v>0</v>
      </c>
      <c r="AR74" s="21"/>
      <c r="AS74" s="193"/>
      <c r="AT74" s="153"/>
      <c r="AU74" s="153"/>
    </row>
    <row r="75" spans="2:47" s="126" customFormat="1" ht="12">
      <c r="B75" s="12" t="s">
        <v>107</v>
      </c>
      <c r="C75" s="23"/>
      <c r="D75" s="184">
        <f aca="true" t="shared" si="30" ref="D75:AQ75">+D67</f>
        <v>22748.650894396553</v>
      </c>
      <c r="E75" s="184">
        <f t="shared" si="30"/>
        <v>34700.813816974456</v>
      </c>
      <c r="F75" s="184">
        <f t="shared" si="30"/>
        <v>21795.41176490704</v>
      </c>
      <c r="G75" s="184">
        <f t="shared" si="30"/>
        <v>14016.304817301783</v>
      </c>
      <c r="H75" s="184">
        <f t="shared" si="30"/>
        <v>13928.698906633317</v>
      </c>
      <c r="I75" s="184">
        <f t="shared" si="30"/>
        <v>8063.491744773018</v>
      </c>
      <c r="J75" s="184">
        <f t="shared" si="30"/>
        <v>2192.7128469942045</v>
      </c>
      <c r="K75" s="184">
        <f t="shared" si="30"/>
        <v>2088.3728056934888</v>
      </c>
      <c r="L75" s="184">
        <f t="shared" si="30"/>
        <v>1977.7723619147303</v>
      </c>
      <c r="M75" s="184">
        <f t="shared" si="30"/>
        <v>1860.5358915092463</v>
      </c>
      <c r="N75" s="184">
        <f t="shared" si="30"/>
        <v>1736.2652328794334</v>
      </c>
      <c r="O75" s="184">
        <f t="shared" si="30"/>
        <v>1604.5383347318316</v>
      </c>
      <c r="P75" s="184">
        <f t="shared" si="30"/>
        <v>1464.9078226953736</v>
      </c>
      <c r="Q75" s="184">
        <f t="shared" si="30"/>
        <v>1316.8994799367283</v>
      </c>
      <c r="R75" s="184">
        <f t="shared" si="30"/>
        <v>1160.0106366125642</v>
      </c>
      <c r="S75" s="184">
        <f t="shared" si="30"/>
        <v>993.7084626889504</v>
      </c>
      <c r="T75" s="184">
        <f t="shared" si="30"/>
        <v>817.4281583299195</v>
      </c>
      <c r="U75" s="184">
        <f t="shared" si="30"/>
        <v>630.5710357093468</v>
      </c>
      <c r="V75" s="184">
        <f t="shared" si="30"/>
        <v>432.5024857315399</v>
      </c>
      <c r="W75" s="184">
        <f t="shared" si="30"/>
        <v>222.54982275506447</v>
      </c>
      <c r="X75" s="184">
        <f t="shared" si="30"/>
        <v>0</v>
      </c>
      <c r="Y75" s="184">
        <f t="shared" si="30"/>
        <v>0</v>
      </c>
      <c r="Z75" s="184">
        <f t="shared" si="30"/>
        <v>0</v>
      </c>
      <c r="AA75" s="184">
        <f t="shared" si="30"/>
        <v>0</v>
      </c>
      <c r="AB75" s="184">
        <f t="shared" si="30"/>
        <v>0</v>
      </c>
      <c r="AC75" s="184">
        <f t="shared" si="30"/>
        <v>0</v>
      </c>
      <c r="AD75" s="184">
        <f t="shared" si="30"/>
        <v>0</v>
      </c>
      <c r="AE75" s="184">
        <f t="shared" si="30"/>
        <v>0</v>
      </c>
      <c r="AF75" s="184">
        <f t="shared" si="30"/>
        <v>0</v>
      </c>
      <c r="AG75" s="184">
        <f t="shared" si="30"/>
        <v>0</v>
      </c>
      <c r="AH75" s="184">
        <f t="shared" si="30"/>
        <v>0</v>
      </c>
      <c r="AI75" s="184">
        <f t="shared" si="30"/>
        <v>0</v>
      </c>
      <c r="AJ75" s="184">
        <f t="shared" si="30"/>
        <v>0</v>
      </c>
      <c r="AK75" s="184">
        <f t="shared" si="30"/>
        <v>0</v>
      </c>
      <c r="AL75" s="184">
        <f t="shared" si="30"/>
        <v>0</v>
      </c>
      <c r="AM75" s="184">
        <f t="shared" si="30"/>
        <v>0</v>
      </c>
      <c r="AN75" s="184">
        <f t="shared" si="30"/>
        <v>0</v>
      </c>
      <c r="AO75" s="184">
        <f t="shared" si="30"/>
        <v>0</v>
      </c>
      <c r="AP75" s="184">
        <f t="shared" si="30"/>
        <v>0</v>
      </c>
      <c r="AQ75" s="184">
        <f t="shared" si="30"/>
        <v>0</v>
      </c>
      <c r="AR75" s="21"/>
      <c r="AS75" s="193"/>
      <c r="AT75" s="153"/>
      <c r="AU75" s="153"/>
    </row>
    <row r="76" spans="2:47" s="126" customFormat="1" ht="12">
      <c r="B76" s="12" t="s">
        <v>101</v>
      </c>
      <c r="C76" s="23"/>
      <c r="D76" s="184">
        <f aca="true" t="shared" si="31" ref="D76:AQ76">+D70-D73+D74+D75</f>
        <v>-320594.32755387924</v>
      </c>
      <c r="E76" s="184">
        <f t="shared" si="31"/>
        <v>-485134.4279774838</v>
      </c>
      <c r="F76" s="184">
        <f t="shared" si="31"/>
        <v>-307060.9241765047</v>
      </c>
      <c r="G76" s="184">
        <f t="shared" si="31"/>
        <v>-199628.93602332895</v>
      </c>
      <c r="H76" s="184">
        <f t="shared" si="31"/>
        <v>-198192.96087889365</v>
      </c>
      <c r="I76" s="184">
        <f t="shared" si="31"/>
        <v>-117112.85626027497</v>
      </c>
      <c r="J76" s="184">
        <f t="shared" si="31"/>
        <v>-35941.42362247022</v>
      </c>
      <c r="K76" s="184">
        <f t="shared" si="31"/>
        <v>-34231.15424984545</v>
      </c>
      <c r="L76" s="184">
        <f t="shared" si="31"/>
        <v>-32418.26871486319</v>
      </c>
      <c r="M76" s="184">
        <f t="shared" si="31"/>
        <v>-30496.610047781993</v>
      </c>
      <c r="N76" s="184">
        <f t="shared" si="31"/>
        <v>-28459.65186067593</v>
      </c>
      <c r="O76" s="184">
        <f t="shared" si="31"/>
        <v>-26300.4761823435</v>
      </c>
      <c r="P76" s="184">
        <f t="shared" si="31"/>
        <v>-24011.749963311122</v>
      </c>
      <c r="Q76" s="184">
        <f t="shared" si="31"/>
        <v>-21585.700171136807</v>
      </c>
      <c r="R76" s="184">
        <f t="shared" si="31"/>
        <v>-19014.08739143203</v>
      </c>
      <c r="S76" s="184">
        <f t="shared" si="31"/>
        <v>-16288.177844944968</v>
      </c>
      <c r="T76" s="184">
        <f t="shared" si="31"/>
        <v>-13398.713725668678</v>
      </c>
      <c r="U76" s="184">
        <f t="shared" si="31"/>
        <v>-10335.881759235815</v>
      </c>
      <c r="V76" s="184">
        <f t="shared" si="31"/>
        <v>-7089.279874816979</v>
      </c>
      <c r="W76" s="184">
        <f t="shared" si="31"/>
        <v>-3647.881877333013</v>
      </c>
      <c r="X76" s="184">
        <f t="shared" si="31"/>
        <v>0</v>
      </c>
      <c r="Y76" s="184">
        <f t="shared" si="31"/>
        <v>0</v>
      </c>
      <c r="Z76" s="184">
        <f t="shared" si="31"/>
        <v>0</v>
      </c>
      <c r="AA76" s="184">
        <f t="shared" si="31"/>
        <v>0</v>
      </c>
      <c r="AB76" s="184">
        <f t="shared" si="31"/>
        <v>0</v>
      </c>
      <c r="AC76" s="184">
        <f t="shared" si="31"/>
        <v>0</v>
      </c>
      <c r="AD76" s="184">
        <f t="shared" si="31"/>
        <v>0</v>
      </c>
      <c r="AE76" s="184">
        <f t="shared" si="31"/>
        <v>0</v>
      </c>
      <c r="AF76" s="184">
        <f t="shared" si="31"/>
        <v>0</v>
      </c>
      <c r="AG76" s="184">
        <f t="shared" si="31"/>
        <v>0</v>
      </c>
      <c r="AH76" s="184">
        <f t="shared" si="31"/>
        <v>0</v>
      </c>
      <c r="AI76" s="184">
        <f t="shared" si="31"/>
        <v>0</v>
      </c>
      <c r="AJ76" s="184">
        <f t="shared" si="31"/>
        <v>0</v>
      </c>
      <c r="AK76" s="184">
        <f t="shared" si="31"/>
        <v>0</v>
      </c>
      <c r="AL76" s="184">
        <f t="shared" si="31"/>
        <v>0</v>
      </c>
      <c r="AM76" s="184">
        <f t="shared" si="31"/>
        <v>0</v>
      </c>
      <c r="AN76" s="184">
        <f t="shared" si="31"/>
        <v>0</v>
      </c>
      <c r="AO76" s="184">
        <f t="shared" si="31"/>
        <v>0</v>
      </c>
      <c r="AP76" s="184">
        <f t="shared" si="31"/>
        <v>0</v>
      </c>
      <c r="AQ76" s="184">
        <f t="shared" si="31"/>
        <v>0</v>
      </c>
      <c r="AR76" s="21"/>
      <c r="AS76" s="193"/>
      <c r="AT76" s="153"/>
      <c r="AU76" s="153"/>
    </row>
    <row r="77" spans="2:47" s="126" customFormat="1" ht="12">
      <c r="B77" s="12" t="s">
        <v>108</v>
      </c>
      <c r="C77" s="198">
        <f>+H7</f>
        <v>0.35</v>
      </c>
      <c r="D77" s="184">
        <f>-D76*$C77</f>
        <v>112208.01464385772</v>
      </c>
      <c r="E77" s="184">
        <f aca="true" t="shared" si="32" ref="E77:AQ77">-E76*$C77</f>
        <v>169797.0497921193</v>
      </c>
      <c r="F77" s="184">
        <f t="shared" si="32"/>
        <v>107471.32346177664</v>
      </c>
      <c r="G77" s="184">
        <f t="shared" si="32"/>
        <v>69870.12760816513</v>
      </c>
      <c r="H77" s="184">
        <f t="shared" si="32"/>
        <v>69367.53630761277</v>
      </c>
      <c r="I77" s="184">
        <f t="shared" si="32"/>
        <v>40989.499691096236</v>
      </c>
      <c r="J77" s="184">
        <f t="shared" si="32"/>
        <v>12579.498267864576</v>
      </c>
      <c r="K77" s="184">
        <f t="shared" si="32"/>
        <v>11980.903987445907</v>
      </c>
      <c r="L77" s="184">
        <f t="shared" si="32"/>
        <v>11346.394050202116</v>
      </c>
      <c r="M77" s="184">
        <f t="shared" si="32"/>
        <v>10673.813516723696</v>
      </c>
      <c r="N77" s="184">
        <f t="shared" si="32"/>
        <v>9960.878151236575</v>
      </c>
      <c r="O77" s="184">
        <f t="shared" si="32"/>
        <v>9205.166663820224</v>
      </c>
      <c r="P77" s="184">
        <f t="shared" si="32"/>
        <v>8404.112487158893</v>
      </c>
      <c r="Q77" s="184">
        <f t="shared" si="32"/>
        <v>7554.995059897882</v>
      </c>
      <c r="R77" s="184">
        <f t="shared" si="32"/>
        <v>6654.9305870012095</v>
      </c>
      <c r="S77" s="184">
        <f t="shared" si="32"/>
        <v>5700.862245730738</v>
      </c>
      <c r="T77" s="184">
        <f t="shared" si="32"/>
        <v>4689.549803984037</v>
      </c>
      <c r="U77" s="184">
        <f t="shared" si="32"/>
        <v>3617.558615732535</v>
      </c>
      <c r="V77" s="184">
        <f t="shared" si="32"/>
        <v>2481.2479561859423</v>
      </c>
      <c r="W77" s="184">
        <f t="shared" si="32"/>
        <v>1276.7586570665544</v>
      </c>
      <c r="X77" s="184">
        <f t="shared" si="32"/>
        <v>0</v>
      </c>
      <c r="Y77" s="184">
        <f t="shared" si="32"/>
        <v>0</v>
      </c>
      <c r="Z77" s="184">
        <f t="shared" si="32"/>
        <v>0</v>
      </c>
      <c r="AA77" s="184">
        <f t="shared" si="32"/>
        <v>0</v>
      </c>
      <c r="AB77" s="184">
        <f t="shared" si="32"/>
        <v>0</v>
      </c>
      <c r="AC77" s="184">
        <f t="shared" si="32"/>
        <v>0</v>
      </c>
      <c r="AD77" s="184">
        <f t="shared" si="32"/>
        <v>0</v>
      </c>
      <c r="AE77" s="184">
        <f t="shared" si="32"/>
        <v>0</v>
      </c>
      <c r="AF77" s="184">
        <f t="shared" si="32"/>
        <v>0</v>
      </c>
      <c r="AG77" s="184">
        <f t="shared" si="32"/>
        <v>0</v>
      </c>
      <c r="AH77" s="184">
        <f t="shared" si="32"/>
        <v>0</v>
      </c>
      <c r="AI77" s="184">
        <f t="shared" si="32"/>
        <v>0</v>
      </c>
      <c r="AJ77" s="184">
        <f t="shared" si="32"/>
        <v>0</v>
      </c>
      <c r="AK77" s="184">
        <f t="shared" si="32"/>
        <v>0</v>
      </c>
      <c r="AL77" s="184">
        <f t="shared" si="32"/>
        <v>0</v>
      </c>
      <c r="AM77" s="184">
        <f t="shared" si="32"/>
        <v>0</v>
      </c>
      <c r="AN77" s="184">
        <f t="shared" si="32"/>
        <v>0</v>
      </c>
      <c r="AO77" s="184">
        <f t="shared" si="32"/>
        <v>0</v>
      </c>
      <c r="AP77" s="184">
        <f t="shared" si="32"/>
        <v>0</v>
      </c>
      <c r="AQ77" s="184">
        <f t="shared" si="32"/>
        <v>0</v>
      </c>
      <c r="AR77" s="21"/>
      <c r="AS77" s="193"/>
      <c r="AT77" s="153"/>
      <c r="AU77" s="153"/>
    </row>
    <row r="78" spans="2:47" s="126" customFormat="1" ht="12">
      <c r="B78" s="12" t="s">
        <v>109</v>
      </c>
      <c r="C78" s="23"/>
      <c r="D78" s="184">
        <f>IF($C$17&gt;=D31,H10*C10,0)*0.75</f>
        <v>392142.9956896551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1"/>
      <c r="AS78" s="193"/>
      <c r="AT78" s="153"/>
      <c r="AU78" s="153"/>
    </row>
    <row r="79" spans="2:47" s="126" customFormat="1" ht="12">
      <c r="B79" s="9" t="s">
        <v>110</v>
      </c>
      <c r="C79" s="23"/>
      <c r="D79" s="26">
        <f aca="true" t="shared" si="33" ref="D79:AQ79">+D78+D77+D67</f>
        <v>527099.6612279094</v>
      </c>
      <c r="E79" s="26">
        <f t="shared" si="33"/>
        <v>204497.86360909377</v>
      </c>
      <c r="F79" s="26">
        <f t="shared" si="33"/>
        <v>129266.73522668368</v>
      </c>
      <c r="G79" s="26">
        <f t="shared" si="33"/>
        <v>83886.43242546692</v>
      </c>
      <c r="H79" s="26">
        <f t="shared" si="33"/>
        <v>83296.23521424609</v>
      </c>
      <c r="I79" s="26">
        <f t="shared" si="33"/>
        <v>49052.991435869255</v>
      </c>
      <c r="J79" s="26">
        <f t="shared" si="33"/>
        <v>14772.21111485878</v>
      </c>
      <c r="K79" s="26">
        <f t="shared" si="33"/>
        <v>14069.276793139396</v>
      </c>
      <c r="L79" s="26">
        <f t="shared" si="33"/>
        <v>13324.166412116847</v>
      </c>
      <c r="M79" s="26">
        <f t="shared" si="33"/>
        <v>12534.349408232942</v>
      </c>
      <c r="N79" s="26">
        <f t="shared" si="33"/>
        <v>11697.143384116009</v>
      </c>
      <c r="O79" s="26">
        <f t="shared" si="33"/>
        <v>10809.704998552055</v>
      </c>
      <c r="P79" s="26">
        <f t="shared" si="33"/>
        <v>9869.020309854266</v>
      </c>
      <c r="Q79" s="26">
        <f t="shared" si="33"/>
        <v>8871.894539834611</v>
      </c>
      <c r="R79" s="26">
        <f t="shared" si="33"/>
        <v>7814.941223613774</v>
      </c>
      <c r="S79" s="26">
        <f t="shared" si="33"/>
        <v>6694.570708419688</v>
      </c>
      <c r="T79" s="26">
        <f t="shared" si="33"/>
        <v>5506.977962313957</v>
      </c>
      <c r="U79" s="26">
        <f t="shared" si="33"/>
        <v>4248.129651441882</v>
      </c>
      <c r="V79" s="26">
        <f t="shared" si="33"/>
        <v>2913.750441917482</v>
      </c>
      <c r="W79" s="26">
        <f t="shared" si="33"/>
        <v>1499.308479821619</v>
      </c>
      <c r="X79" s="26">
        <f t="shared" si="33"/>
        <v>0</v>
      </c>
      <c r="Y79" s="26">
        <f t="shared" si="33"/>
        <v>0</v>
      </c>
      <c r="Z79" s="26">
        <f t="shared" si="33"/>
        <v>0</v>
      </c>
      <c r="AA79" s="26">
        <f t="shared" si="33"/>
        <v>0</v>
      </c>
      <c r="AB79" s="26">
        <f t="shared" si="33"/>
        <v>0</v>
      </c>
      <c r="AC79" s="26">
        <f t="shared" si="33"/>
        <v>0</v>
      </c>
      <c r="AD79" s="26">
        <f t="shared" si="33"/>
        <v>0</v>
      </c>
      <c r="AE79" s="26">
        <f t="shared" si="33"/>
        <v>0</v>
      </c>
      <c r="AF79" s="26">
        <f t="shared" si="33"/>
        <v>0</v>
      </c>
      <c r="AG79" s="26">
        <f t="shared" si="33"/>
        <v>0</v>
      </c>
      <c r="AH79" s="26">
        <f t="shared" si="33"/>
        <v>0</v>
      </c>
      <c r="AI79" s="26">
        <f t="shared" si="33"/>
        <v>0</v>
      </c>
      <c r="AJ79" s="26">
        <f t="shared" si="33"/>
        <v>0</v>
      </c>
      <c r="AK79" s="26">
        <f t="shared" si="33"/>
        <v>0</v>
      </c>
      <c r="AL79" s="26">
        <f t="shared" si="33"/>
        <v>0</v>
      </c>
      <c r="AM79" s="26">
        <f t="shared" si="33"/>
        <v>0</v>
      </c>
      <c r="AN79" s="26">
        <f t="shared" si="33"/>
        <v>0</v>
      </c>
      <c r="AO79" s="26">
        <f t="shared" si="33"/>
        <v>0</v>
      </c>
      <c r="AP79" s="26">
        <f t="shared" si="33"/>
        <v>0</v>
      </c>
      <c r="AQ79" s="26">
        <f t="shared" si="33"/>
        <v>0</v>
      </c>
      <c r="AR79" s="21"/>
      <c r="AS79" s="193"/>
      <c r="AT79" s="153"/>
      <c r="AU79" s="153"/>
    </row>
    <row r="80" spans="2:47" s="126" customFormat="1" ht="12">
      <c r="B80" s="1"/>
      <c r="C80" s="16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177"/>
      <c r="AS80" s="201"/>
      <c r="AT80" s="201"/>
      <c r="AU80" s="201"/>
    </row>
    <row r="81" spans="2:47" s="126" customFormat="1" ht="12">
      <c r="B81" s="196" t="s">
        <v>75</v>
      </c>
      <c r="C81" s="197">
        <v>0</v>
      </c>
      <c r="D81" s="197">
        <v>1</v>
      </c>
      <c r="E81" s="197">
        <v>2</v>
      </c>
      <c r="F81" s="197">
        <v>3</v>
      </c>
      <c r="G81" s="197">
        <v>4</v>
      </c>
      <c r="H81" s="197">
        <v>5</v>
      </c>
      <c r="I81" s="197">
        <v>6</v>
      </c>
      <c r="J81" s="197">
        <v>7</v>
      </c>
      <c r="K81" s="197">
        <v>8</v>
      </c>
      <c r="L81" s="197">
        <v>9</v>
      </c>
      <c r="M81" s="197">
        <v>10</v>
      </c>
      <c r="N81" s="197">
        <v>11</v>
      </c>
      <c r="O81" s="197">
        <v>12</v>
      </c>
      <c r="P81" s="197">
        <v>13</v>
      </c>
      <c r="Q81" s="197">
        <v>14</v>
      </c>
      <c r="R81" s="197">
        <v>15</v>
      </c>
      <c r="S81" s="197">
        <v>16</v>
      </c>
      <c r="T81" s="197">
        <v>17</v>
      </c>
      <c r="U81" s="197">
        <v>18</v>
      </c>
      <c r="V81" s="197">
        <v>19</v>
      </c>
      <c r="W81" s="197">
        <v>20</v>
      </c>
      <c r="X81" s="197">
        <v>21</v>
      </c>
      <c r="Y81" s="197">
        <v>22</v>
      </c>
      <c r="Z81" s="197">
        <v>23</v>
      </c>
      <c r="AA81" s="197">
        <v>24</v>
      </c>
      <c r="AB81" s="197">
        <v>25</v>
      </c>
      <c r="AC81" s="197">
        <v>26</v>
      </c>
      <c r="AD81" s="197">
        <v>27</v>
      </c>
      <c r="AE81" s="197">
        <v>28</v>
      </c>
      <c r="AF81" s="197">
        <v>29</v>
      </c>
      <c r="AG81" s="197">
        <v>30</v>
      </c>
      <c r="AH81" s="197">
        <v>31</v>
      </c>
      <c r="AI81" s="197">
        <v>32</v>
      </c>
      <c r="AJ81" s="197">
        <v>33</v>
      </c>
      <c r="AK81" s="197">
        <v>34</v>
      </c>
      <c r="AL81" s="197">
        <v>35</v>
      </c>
      <c r="AM81" s="197">
        <v>36</v>
      </c>
      <c r="AN81" s="197">
        <v>37</v>
      </c>
      <c r="AO81" s="197">
        <v>38</v>
      </c>
      <c r="AP81" s="197">
        <v>39</v>
      </c>
      <c r="AQ81" s="197">
        <v>40</v>
      </c>
      <c r="AR81" s="21"/>
      <c r="AT81" s="36"/>
      <c r="AU81" s="36"/>
    </row>
    <row r="82" spans="2:58" s="155" customFormat="1" ht="12">
      <c r="B82" s="300" t="s">
        <v>80</v>
      </c>
      <c r="C82" s="155">
        <f>-C10*H17</f>
        <v>-784285.9913793101</v>
      </c>
      <c r="D82" s="155">
        <f>D42+D49</f>
        <v>-112530.02325328001</v>
      </c>
      <c r="E82" s="155">
        <f aca="true" t="shared" si="34" ref="E82:W82">E42+E49</f>
        <v>-112570.68993431449</v>
      </c>
      <c r="F82" s="155">
        <f t="shared" si="34"/>
        <v>-112623.2080481076</v>
      </c>
      <c r="G82" s="155">
        <f t="shared" si="34"/>
        <v>-112687.8146233145</v>
      </c>
      <c r="H82" s="155">
        <f t="shared" si="34"/>
        <v>-112764.75142916346</v>
      </c>
      <c r="I82" s="155">
        <f t="shared" si="34"/>
        <v>-112854.26507026734</v>
      </c>
      <c r="J82" s="155">
        <f t="shared" si="34"/>
        <v>-112956.60708333121</v>
      </c>
      <c r="K82" s="155">
        <f t="shared" si="34"/>
        <v>-113072.03403579432</v>
      </c>
      <c r="L82" s="155">
        <f t="shared" si="34"/>
        <v>-113200.8076264446</v>
      </c>
      <c r="M82" s="155">
        <f t="shared" si="34"/>
        <v>-113343.19478804583</v>
      </c>
      <c r="N82" s="155">
        <f t="shared" si="34"/>
        <v>-119018.51736098251</v>
      </c>
      <c r="O82" s="155">
        <f t="shared" si="34"/>
        <v>-119188.95392417104</v>
      </c>
      <c r="P82" s="155">
        <f t="shared" si="34"/>
        <v>-119373.83731776128</v>
      </c>
      <c r="Q82" s="155">
        <f t="shared" si="34"/>
        <v>-119573.45647836126</v>
      </c>
      <c r="R82" s="155">
        <f t="shared" si="34"/>
        <v>-119788.10612131115</v>
      </c>
      <c r="S82" s="155">
        <f t="shared" si="34"/>
        <v>-120018.08685625799</v>
      </c>
      <c r="T82" s="155">
        <f t="shared" si="34"/>
        <v>-120263.70530504169</v>
      </c>
      <c r="U82" s="155">
        <f t="shared" si="34"/>
        <v>-120525.27422193898</v>
      </c>
      <c r="V82" s="155">
        <f t="shared" si="34"/>
        <v>-120803.11261631217</v>
      </c>
      <c r="W82" s="155">
        <f t="shared" si="34"/>
        <v>-121097.5458777108</v>
      </c>
      <c r="X82" s="155">
        <f>X49</f>
        <v>0</v>
      </c>
      <c r="Y82" s="155">
        <f>Y49+Y42</f>
        <v>0</v>
      </c>
      <c r="Z82" s="155">
        <f aca="true" t="shared" si="35" ref="Z82:AQ82">Z42+Z49</f>
        <v>0</v>
      </c>
      <c r="AA82" s="155">
        <f t="shared" si="35"/>
        <v>0</v>
      </c>
      <c r="AB82" s="155">
        <f t="shared" si="35"/>
        <v>0</v>
      </c>
      <c r="AC82" s="155">
        <f t="shared" si="35"/>
        <v>0</v>
      </c>
      <c r="AD82" s="155">
        <f t="shared" si="35"/>
        <v>0</v>
      </c>
      <c r="AE82" s="155">
        <f t="shared" si="35"/>
        <v>0</v>
      </c>
      <c r="AF82" s="155">
        <f t="shared" si="35"/>
        <v>0</v>
      </c>
      <c r="AG82" s="155">
        <f t="shared" si="35"/>
        <v>0</v>
      </c>
      <c r="AH82" s="155">
        <f t="shared" si="35"/>
        <v>0</v>
      </c>
      <c r="AI82" s="155">
        <f t="shared" si="35"/>
        <v>0</v>
      </c>
      <c r="AJ82" s="155">
        <f t="shared" si="35"/>
        <v>0</v>
      </c>
      <c r="AK82" s="155">
        <f t="shared" si="35"/>
        <v>0</v>
      </c>
      <c r="AL82" s="155">
        <f t="shared" si="35"/>
        <v>0</v>
      </c>
      <c r="AM82" s="155">
        <f t="shared" si="35"/>
        <v>0</v>
      </c>
      <c r="AN82" s="155">
        <f t="shared" si="35"/>
        <v>0</v>
      </c>
      <c r="AO82" s="155">
        <f t="shared" si="35"/>
        <v>0</v>
      </c>
      <c r="AP82" s="155">
        <f t="shared" si="35"/>
        <v>0</v>
      </c>
      <c r="AQ82" s="155">
        <f t="shared" si="35"/>
        <v>0</v>
      </c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</row>
    <row r="83" spans="2:58" s="155" customFormat="1" ht="12">
      <c r="B83" s="300" t="s">
        <v>367</v>
      </c>
      <c r="D83" s="155">
        <f>$M$7+($M8*D$33)</f>
        <v>74341.01674137931</v>
      </c>
      <c r="E83" s="155">
        <f>($M9*E$33)</f>
        <v>73820.62962418965</v>
      </c>
      <c r="F83" s="155">
        <f>($M10*F$33)</f>
        <v>73303.88521682032</v>
      </c>
      <c r="G83" s="155">
        <f>($M11*G$33)</f>
        <v>72790.75802030257</v>
      </c>
      <c r="H83" s="155">
        <f>($M12*H$33)</f>
        <v>72281.22271416045</v>
      </c>
      <c r="I83" s="155">
        <f>($M13*I$33)</f>
        <v>0</v>
      </c>
      <c r="J83" s="155">
        <f>($M14*J$33)</f>
        <v>0</v>
      </c>
      <c r="K83" s="155">
        <f>($M15*K$33)</f>
        <v>0</v>
      </c>
      <c r="L83" s="155">
        <f>($M16*L$33)</f>
        <v>0</v>
      </c>
      <c r="M83" s="155">
        <f>($M17*M$33)</f>
        <v>0</v>
      </c>
      <c r="N83" s="155">
        <f>($M18*N$33)</f>
        <v>0</v>
      </c>
      <c r="O83" s="155">
        <f>($M19*O$33)</f>
        <v>0</v>
      </c>
      <c r="P83" s="155">
        <f>($M20*P$33)</f>
        <v>0</v>
      </c>
      <c r="Q83" s="155">
        <f>($M21*Q$33)</f>
        <v>0</v>
      </c>
      <c r="R83" s="155">
        <f>($M22*R$33)</f>
        <v>0</v>
      </c>
      <c r="S83" s="155">
        <f>($M23*S$33)</f>
        <v>0</v>
      </c>
      <c r="T83" s="155">
        <f>($M24*T$33)</f>
        <v>0</v>
      </c>
      <c r="U83" s="155">
        <f>($M25*U$33)</f>
        <v>0</v>
      </c>
      <c r="V83" s="155">
        <f>($M26*V$33)</f>
        <v>0</v>
      </c>
      <c r="W83" s="155">
        <f>($M27*W$33)</f>
        <v>0</v>
      </c>
      <c r="X83" s="155">
        <f>($M8*X$33)</f>
        <v>0</v>
      </c>
      <c r="Y83" s="155">
        <f>20*Y33</f>
        <v>0</v>
      </c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</row>
    <row r="84" spans="2:58" s="155" customFormat="1" ht="12">
      <c r="B84" s="300" t="s">
        <v>112</v>
      </c>
      <c r="D84" s="155">
        <f aca="true" t="shared" si="36" ref="D84:AQ84">-((D42+D45-D64+D48)*$H$8)</f>
        <v>25287.41369612069</v>
      </c>
      <c r="E84" s="155">
        <f t="shared" si="36"/>
        <v>37241.91495285808</v>
      </c>
      <c r="F84" s="155">
        <f t="shared" si="36"/>
        <v>24339.532692333763</v>
      </c>
      <c r="G84" s="155">
        <f t="shared" si="36"/>
        <v>16564.140622802905</v>
      </c>
      <c r="H84" s="155">
        <f t="shared" si="36"/>
        <v>16480.958578470752</v>
      </c>
      <c r="I84" s="155">
        <f t="shared" si="36"/>
        <v>10620.898450973928</v>
      </c>
      <c r="J84" s="155">
        <f t="shared" si="36"/>
        <v>4756.0042189462865</v>
      </c>
      <c r="K84" s="155">
        <f t="shared" si="36"/>
        <v>4658.301227412198</v>
      </c>
      <c r="L84" s="155">
        <f t="shared" si="36"/>
        <v>4555.105265095832</v>
      </c>
      <c r="M84" s="155">
        <f t="shared" si="36"/>
        <v>4446.056056482418</v>
      </c>
      <c r="N84" s="155">
        <f t="shared" si="36"/>
        <v>4648.116445796464</v>
      </c>
      <c r="O84" s="155">
        <f t="shared" si="36"/>
        <v>4526.189650032203</v>
      </c>
      <c r="P84" s="155">
        <f t="shared" si="36"/>
        <v>4397.189933127184</v>
      </c>
      <c r="Q84" s="155">
        <f t="shared" si="36"/>
        <v>4260.659692103037</v>
      </c>
      <c r="R84" s="155">
        <f t="shared" si="36"/>
        <v>4116.113203248492</v>
      </c>
      <c r="S84" s="155">
        <f t="shared" si="36"/>
        <v>3963.034921584321</v>
      </c>
      <c r="T84" s="155">
        <f t="shared" si="36"/>
        <v>3800.8776780303533</v>
      </c>
      <c r="U84" s="155">
        <f t="shared" si="36"/>
        <v>3629.0607681313745</v>
      </c>
      <c r="V84" s="155">
        <f t="shared" si="36"/>
        <v>3446.967925830026</v>
      </c>
      <c r="W84" s="155">
        <f t="shared" si="36"/>
        <v>3253.945175383972</v>
      </c>
      <c r="X84" s="155">
        <f t="shared" si="36"/>
        <v>0</v>
      </c>
      <c r="Y84" s="155">
        <f t="shared" si="36"/>
        <v>0</v>
      </c>
      <c r="Z84" s="155">
        <f t="shared" si="36"/>
        <v>0</v>
      </c>
      <c r="AA84" s="155">
        <f t="shared" si="36"/>
        <v>0</v>
      </c>
      <c r="AB84" s="155">
        <f t="shared" si="36"/>
        <v>0</v>
      </c>
      <c r="AC84" s="155">
        <f t="shared" si="36"/>
        <v>0</v>
      </c>
      <c r="AD84" s="155">
        <f t="shared" si="36"/>
        <v>0</v>
      </c>
      <c r="AE84" s="155">
        <f t="shared" si="36"/>
        <v>0</v>
      </c>
      <c r="AF84" s="155">
        <f t="shared" si="36"/>
        <v>0</v>
      </c>
      <c r="AG84" s="155">
        <f t="shared" si="36"/>
        <v>0</v>
      </c>
      <c r="AH84" s="155">
        <f t="shared" si="36"/>
        <v>0</v>
      </c>
      <c r="AI84" s="155">
        <f t="shared" si="36"/>
        <v>0</v>
      </c>
      <c r="AJ84" s="155">
        <f t="shared" si="36"/>
        <v>0</v>
      </c>
      <c r="AK84" s="155">
        <f t="shared" si="36"/>
        <v>0</v>
      </c>
      <c r="AL84" s="155">
        <f t="shared" si="36"/>
        <v>0</v>
      </c>
      <c r="AM84" s="155">
        <f t="shared" si="36"/>
        <v>0</v>
      </c>
      <c r="AN84" s="155">
        <f t="shared" si="36"/>
        <v>0</v>
      </c>
      <c r="AO84" s="155">
        <f t="shared" si="36"/>
        <v>0</v>
      </c>
      <c r="AP84" s="155">
        <f t="shared" si="36"/>
        <v>0</v>
      </c>
      <c r="AQ84" s="155">
        <f t="shared" si="36"/>
        <v>0</v>
      </c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</row>
    <row r="85" spans="2:58" s="155" customFormat="1" ht="12">
      <c r="B85" s="155" t="s">
        <v>113</v>
      </c>
      <c r="D85" s="155">
        <f aca="true" t="shared" si="37" ref="D85:AQ85">-((D42+D45-D73+D48+D84)*$H$7-D78)</f>
        <v>518915.78214601276</v>
      </c>
      <c r="E85" s="155">
        <f t="shared" si="37"/>
        <v>184375.23652602558</v>
      </c>
      <c r="F85" s="155">
        <f t="shared" si="37"/>
        <v>122066.83460847041</v>
      </c>
      <c r="G85" s="155">
        <f t="shared" si="37"/>
        <v>84486.95084885525</v>
      </c>
      <c r="H85" s="155">
        <f t="shared" si="37"/>
        <v>84009.73907713231</v>
      </c>
      <c r="I85" s="155">
        <f t="shared" si="37"/>
        <v>55661.23077297493</v>
      </c>
      <c r="J85" s="155">
        <f t="shared" si="37"/>
        <v>27284.989421302715</v>
      </c>
      <c r="K85" s="155">
        <f t="shared" si="37"/>
        <v>26724.471606827807</v>
      </c>
      <c r="L85" s="155">
        <f t="shared" si="37"/>
        <v>26132.440857799782</v>
      </c>
      <c r="M85" s="155">
        <f t="shared" si="37"/>
        <v>25506.83028925457</v>
      </c>
      <c r="N85" s="155">
        <f t="shared" si="37"/>
        <v>26666.04195751493</v>
      </c>
      <c r="O85" s="155">
        <f t="shared" si="37"/>
        <v>25966.553231380396</v>
      </c>
      <c r="P85" s="155">
        <f t="shared" si="37"/>
        <v>25226.48746417965</v>
      </c>
      <c r="Q85" s="155">
        <f t="shared" si="37"/>
        <v>24443.21940752155</v>
      </c>
      <c r="R85" s="155">
        <f t="shared" si="37"/>
        <v>23613.96248559298</v>
      </c>
      <c r="S85" s="155">
        <f t="shared" si="37"/>
        <v>22735.759039263092</v>
      </c>
      <c r="T85" s="155">
        <f t="shared" si="37"/>
        <v>21805.469983308918</v>
      </c>
      <c r="U85" s="155">
        <f t="shared" si="37"/>
        <v>20819.763841518903</v>
      </c>
      <c r="V85" s="155">
        <f t="shared" si="37"/>
        <v>19775.10512231617</v>
      </c>
      <c r="W85" s="155">
        <f t="shared" si="37"/>
        <v>18667.741995300654</v>
      </c>
      <c r="X85" s="155">
        <f t="shared" si="37"/>
        <v>0</v>
      </c>
      <c r="Y85" s="155">
        <f t="shared" si="37"/>
        <v>0</v>
      </c>
      <c r="Z85" s="155">
        <f t="shared" si="37"/>
        <v>0</v>
      </c>
      <c r="AA85" s="155">
        <f t="shared" si="37"/>
        <v>0</v>
      </c>
      <c r="AB85" s="155">
        <f t="shared" si="37"/>
        <v>0</v>
      </c>
      <c r="AC85" s="155">
        <f t="shared" si="37"/>
        <v>0</v>
      </c>
      <c r="AD85" s="155">
        <f t="shared" si="37"/>
        <v>0</v>
      </c>
      <c r="AE85" s="155">
        <f t="shared" si="37"/>
        <v>0</v>
      </c>
      <c r="AF85" s="155">
        <f t="shared" si="37"/>
        <v>0</v>
      </c>
      <c r="AG85" s="155">
        <f t="shared" si="37"/>
        <v>0</v>
      </c>
      <c r="AH85" s="155">
        <f t="shared" si="37"/>
        <v>0</v>
      </c>
      <c r="AI85" s="155">
        <f t="shared" si="37"/>
        <v>0</v>
      </c>
      <c r="AJ85" s="155">
        <f t="shared" si="37"/>
        <v>0</v>
      </c>
      <c r="AK85" s="155">
        <f t="shared" si="37"/>
        <v>0</v>
      </c>
      <c r="AL85" s="155">
        <f t="shared" si="37"/>
        <v>0</v>
      </c>
      <c r="AM85" s="155">
        <f t="shared" si="37"/>
        <v>0</v>
      </c>
      <c r="AN85" s="155">
        <f t="shared" si="37"/>
        <v>0</v>
      </c>
      <c r="AO85" s="155">
        <f t="shared" si="37"/>
        <v>0</v>
      </c>
      <c r="AP85" s="155">
        <f t="shared" si="37"/>
        <v>0</v>
      </c>
      <c r="AQ85" s="155">
        <f t="shared" si="37"/>
        <v>0</v>
      </c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</row>
    <row r="86" spans="2:58" s="155" customFormat="1" ht="12">
      <c r="B86" s="300" t="s">
        <v>148</v>
      </c>
      <c r="D86" s="155">
        <f>D85+D84</f>
        <v>544203.1958421335</v>
      </c>
      <c r="E86" s="155">
        <f aca="true" t="shared" si="38" ref="E86:AQ86">E85+E84</f>
        <v>221617.15147888366</v>
      </c>
      <c r="F86" s="155">
        <f t="shared" si="38"/>
        <v>146406.36730080418</v>
      </c>
      <c r="G86" s="155">
        <f t="shared" si="38"/>
        <v>101051.09147165816</v>
      </c>
      <c r="H86" s="155">
        <f t="shared" si="38"/>
        <v>100490.69765560306</v>
      </c>
      <c r="I86" s="155">
        <f t="shared" si="38"/>
        <v>66282.12922394885</v>
      </c>
      <c r="J86" s="155">
        <f t="shared" si="38"/>
        <v>32040.993640249002</v>
      </c>
      <c r="K86" s="155">
        <f t="shared" si="38"/>
        <v>31382.772834240004</v>
      </c>
      <c r="L86" s="155">
        <f t="shared" si="38"/>
        <v>30687.546122895612</v>
      </c>
      <c r="M86" s="155">
        <f t="shared" si="38"/>
        <v>29952.886345736988</v>
      </c>
      <c r="N86" s="155">
        <f t="shared" si="38"/>
        <v>31314.158403311398</v>
      </c>
      <c r="O86" s="155">
        <f t="shared" si="38"/>
        <v>30492.7428814126</v>
      </c>
      <c r="P86" s="155">
        <f t="shared" si="38"/>
        <v>29623.677397306834</v>
      </c>
      <c r="Q86" s="155">
        <f t="shared" si="38"/>
        <v>28703.879099624584</v>
      </c>
      <c r="R86" s="155">
        <f t="shared" si="38"/>
        <v>27730.075688841473</v>
      </c>
      <c r="S86" s="155">
        <f t="shared" si="38"/>
        <v>26698.79396084741</v>
      </c>
      <c r="T86" s="155">
        <f t="shared" si="38"/>
        <v>25606.34766133927</v>
      </c>
      <c r="U86" s="155">
        <f t="shared" si="38"/>
        <v>24448.824609650277</v>
      </c>
      <c r="V86" s="155">
        <f t="shared" si="38"/>
        <v>23222.073048146198</v>
      </c>
      <c r="W86" s="155">
        <f t="shared" si="38"/>
        <v>21921.687170684625</v>
      </c>
      <c r="X86" s="155">
        <f t="shared" si="38"/>
        <v>0</v>
      </c>
      <c r="Y86" s="155">
        <f t="shared" si="38"/>
        <v>0</v>
      </c>
      <c r="Z86" s="155">
        <f t="shared" si="38"/>
        <v>0</v>
      </c>
      <c r="AA86" s="155">
        <f t="shared" si="38"/>
        <v>0</v>
      </c>
      <c r="AB86" s="155">
        <f t="shared" si="38"/>
        <v>0</v>
      </c>
      <c r="AC86" s="155">
        <f t="shared" si="38"/>
        <v>0</v>
      </c>
      <c r="AD86" s="155">
        <f t="shared" si="38"/>
        <v>0</v>
      </c>
      <c r="AE86" s="155">
        <f t="shared" si="38"/>
        <v>0</v>
      </c>
      <c r="AF86" s="155">
        <f t="shared" si="38"/>
        <v>0</v>
      </c>
      <c r="AG86" s="155">
        <f t="shared" si="38"/>
        <v>0</v>
      </c>
      <c r="AH86" s="155">
        <f t="shared" si="38"/>
        <v>0</v>
      </c>
      <c r="AI86" s="155">
        <f t="shared" si="38"/>
        <v>0</v>
      </c>
      <c r="AJ86" s="155">
        <f t="shared" si="38"/>
        <v>0</v>
      </c>
      <c r="AK86" s="155">
        <f t="shared" si="38"/>
        <v>0</v>
      </c>
      <c r="AL86" s="155">
        <f t="shared" si="38"/>
        <v>0</v>
      </c>
      <c r="AM86" s="155">
        <f t="shared" si="38"/>
        <v>0</v>
      </c>
      <c r="AN86" s="155">
        <f t="shared" si="38"/>
        <v>0</v>
      </c>
      <c r="AO86" s="155">
        <f t="shared" si="38"/>
        <v>0</v>
      </c>
      <c r="AP86" s="155">
        <f t="shared" si="38"/>
        <v>0</v>
      </c>
      <c r="AQ86" s="155">
        <f t="shared" si="38"/>
        <v>0</v>
      </c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</row>
    <row r="87" spans="2:58" s="155" customFormat="1" ht="12">
      <c r="B87" s="300" t="s">
        <v>69</v>
      </c>
      <c r="C87" s="155">
        <f>C82</f>
        <v>-784285.9913793101</v>
      </c>
      <c r="D87" s="155">
        <f aca="true" t="shared" si="39" ref="D87:Z87">D82+D86+D83</f>
        <v>506014.1893302328</v>
      </c>
      <c r="E87" s="155">
        <f t="shared" si="39"/>
        <v>182867.0911687588</v>
      </c>
      <c r="F87" s="155">
        <f t="shared" si="39"/>
        <v>107087.0444695169</v>
      </c>
      <c r="G87" s="155">
        <f t="shared" si="39"/>
        <v>61154.03486864624</v>
      </c>
      <c r="H87" s="155">
        <f t="shared" si="39"/>
        <v>60007.16894060005</v>
      </c>
      <c r="I87" s="155">
        <f t="shared" si="39"/>
        <v>-46572.13584631849</v>
      </c>
      <c r="J87" s="155">
        <f t="shared" si="39"/>
        <v>-80915.61344308221</v>
      </c>
      <c r="K87" s="155">
        <f t="shared" si="39"/>
        <v>-81689.26120155431</v>
      </c>
      <c r="L87" s="155">
        <f t="shared" si="39"/>
        <v>-82513.26150354899</v>
      </c>
      <c r="M87" s="155">
        <f t="shared" si="39"/>
        <v>-83390.30844230884</v>
      </c>
      <c r="N87" s="155">
        <f t="shared" si="39"/>
        <v>-87704.35895767112</v>
      </c>
      <c r="O87" s="155">
        <f t="shared" si="39"/>
        <v>-88696.21104275844</v>
      </c>
      <c r="P87" s="155">
        <f t="shared" si="39"/>
        <v>-89750.15992045445</v>
      </c>
      <c r="Q87" s="155">
        <f t="shared" si="39"/>
        <v>-90869.57737873668</v>
      </c>
      <c r="R87" s="155">
        <f t="shared" si="39"/>
        <v>-92058.03043246968</v>
      </c>
      <c r="S87" s="155">
        <f t="shared" si="39"/>
        <v>-93319.29289541057</v>
      </c>
      <c r="T87" s="155">
        <f t="shared" si="39"/>
        <v>-94657.35764370242</v>
      </c>
      <c r="U87" s="155">
        <f t="shared" si="39"/>
        <v>-96076.4496122887</v>
      </c>
      <c r="V87" s="155">
        <f t="shared" si="39"/>
        <v>-97581.03956816597</v>
      </c>
      <c r="W87" s="155">
        <f t="shared" si="39"/>
        <v>-99175.85870702617</v>
      </c>
      <c r="X87" s="155">
        <f t="shared" si="39"/>
        <v>0</v>
      </c>
      <c r="Y87" s="155">
        <f t="shared" si="39"/>
        <v>0</v>
      </c>
      <c r="Z87" s="155">
        <f t="shared" si="39"/>
        <v>0</v>
      </c>
      <c r="AA87" s="155">
        <f aca="true" t="shared" si="40" ref="AA87:AQ87">AA82+AA86</f>
        <v>0</v>
      </c>
      <c r="AB87" s="155">
        <f t="shared" si="40"/>
        <v>0</v>
      </c>
      <c r="AC87" s="155">
        <f t="shared" si="40"/>
        <v>0</v>
      </c>
      <c r="AD87" s="155">
        <f t="shared" si="40"/>
        <v>0</v>
      </c>
      <c r="AE87" s="155">
        <f t="shared" si="40"/>
        <v>0</v>
      </c>
      <c r="AF87" s="155">
        <f t="shared" si="40"/>
        <v>0</v>
      </c>
      <c r="AG87" s="155">
        <f t="shared" si="40"/>
        <v>0</v>
      </c>
      <c r="AH87" s="155">
        <f t="shared" si="40"/>
        <v>0</v>
      </c>
      <c r="AI87" s="155">
        <f t="shared" si="40"/>
        <v>0</v>
      </c>
      <c r="AJ87" s="155">
        <f t="shared" si="40"/>
        <v>0</v>
      </c>
      <c r="AK87" s="155">
        <f t="shared" si="40"/>
        <v>0</v>
      </c>
      <c r="AL87" s="155">
        <f t="shared" si="40"/>
        <v>0</v>
      </c>
      <c r="AM87" s="155">
        <f t="shared" si="40"/>
        <v>0</v>
      </c>
      <c r="AN87" s="155">
        <f t="shared" si="40"/>
        <v>0</v>
      </c>
      <c r="AO87" s="155">
        <f t="shared" si="40"/>
        <v>0</v>
      </c>
      <c r="AP87" s="155">
        <f t="shared" si="40"/>
        <v>0</v>
      </c>
      <c r="AQ87" s="155">
        <f t="shared" si="40"/>
        <v>0</v>
      </c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</row>
    <row r="88" spans="2:58" ht="12">
      <c r="B88" s="152" t="s">
        <v>92</v>
      </c>
      <c r="C88" s="298">
        <f>H20</f>
        <v>0.1075</v>
      </c>
      <c r="D88" s="113"/>
      <c r="E88" s="121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6"/>
      <c r="AS88" s="126"/>
      <c r="AT88" s="203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</row>
    <row r="89" spans="2:58" ht="12">
      <c r="B89" s="152" t="s">
        <v>70</v>
      </c>
      <c r="C89" s="316">
        <f>NPV(H18,$D$87:$AQ$87)+$C$87</f>
        <v>-573957.9970299113</v>
      </c>
      <c r="D89" s="204"/>
      <c r="E89" s="204"/>
      <c r="G89" s="205"/>
      <c r="H89" s="206"/>
      <c r="I89" s="2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</row>
    <row r="90" spans="2:58" ht="12">
      <c r="B90" s="173" t="s">
        <v>222</v>
      </c>
      <c r="C90" s="317">
        <f>SUM(C88,$D$33:$AL$33)</f>
        <v>13919.89398846947</v>
      </c>
      <c r="D90" s="207"/>
      <c r="E90" s="207"/>
      <c r="F90" s="12"/>
      <c r="G90" s="205"/>
      <c r="H90" s="206"/>
      <c r="I90" s="2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</row>
    <row r="91" spans="2:58" ht="12">
      <c r="B91" s="173" t="s">
        <v>223</v>
      </c>
      <c r="C91" s="318">
        <f>-C89/C90</f>
        <v>41.232928749698004</v>
      </c>
      <c r="D91" s="208"/>
      <c r="E91" s="208"/>
      <c r="F91" s="12"/>
      <c r="G91" s="209"/>
      <c r="H91" s="12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</row>
    <row r="92" spans="2:58" ht="12">
      <c r="B92" s="173" t="s">
        <v>71</v>
      </c>
      <c r="C92" s="318">
        <f>C91/(1-$H$9)</f>
        <v>67.30533156449378</v>
      </c>
      <c r="D92" s="318"/>
      <c r="E92" s="208"/>
      <c r="F92" s="175"/>
      <c r="G92" s="175"/>
      <c r="H92" s="175"/>
      <c r="I92" s="210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</row>
    <row r="93" spans="2:58" ht="12">
      <c r="B93" s="173" t="s">
        <v>72</v>
      </c>
      <c r="C93" s="25">
        <f>C92*(1+H21)</f>
        <v>72.78230292055446</v>
      </c>
      <c r="D93" s="25">
        <f>C93</f>
        <v>72.78230292055446</v>
      </c>
      <c r="E93" s="25">
        <f aca="true" t="shared" si="41" ref="E93:W93">D93</f>
        <v>72.78230292055446</v>
      </c>
      <c r="F93" s="25">
        <f t="shared" si="41"/>
        <v>72.78230292055446</v>
      </c>
      <c r="G93" s="25">
        <f t="shared" si="41"/>
        <v>72.78230292055446</v>
      </c>
      <c r="H93" s="25">
        <f t="shared" si="41"/>
        <v>72.78230292055446</v>
      </c>
      <c r="I93" s="25">
        <f t="shared" si="41"/>
        <v>72.78230292055446</v>
      </c>
      <c r="J93" s="25">
        <f t="shared" si="41"/>
        <v>72.78230292055446</v>
      </c>
      <c r="K93" s="25">
        <f t="shared" si="41"/>
        <v>72.78230292055446</v>
      </c>
      <c r="L93" s="25">
        <f t="shared" si="41"/>
        <v>72.78230292055446</v>
      </c>
      <c r="M93" s="25">
        <f t="shared" si="41"/>
        <v>72.78230292055446</v>
      </c>
      <c r="N93" s="25">
        <f t="shared" si="41"/>
        <v>72.78230292055446</v>
      </c>
      <c r="O93" s="25">
        <f t="shared" si="41"/>
        <v>72.78230292055446</v>
      </c>
      <c r="P93" s="25">
        <f t="shared" si="41"/>
        <v>72.78230292055446</v>
      </c>
      <c r="Q93" s="25">
        <f t="shared" si="41"/>
        <v>72.78230292055446</v>
      </c>
      <c r="R93" s="25">
        <f t="shared" si="41"/>
        <v>72.78230292055446</v>
      </c>
      <c r="S93" s="25">
        <f t="shared" si="41"/>
        <v>72.78230292055446</v>
      </c>
      <c r="T93" s="25">
        <f t="shared" si="41"/>
        <v>72.78230292055446</v>
      </c>
      <c r="U93" s="25">
        <f t="shared" si="41"/>
        <v>72.78230292055446</v>
      </c>
      <c r="V93" s="25">
        <f t="shared" si="41"/>
        <v>72.78230292055446</v>
      </c>
      <c r="W93" s="25">
        <f t="shared" si="41"/>
        <v>72.78230292055446</v>
      </c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</row>
    <row r="94" spans="2:58" ht="12">
      <c r="B94" s="152"/>
      <c r="C94" s="204"/>
      <c r="D94" s="12"/>
      <c r="E94" s="12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</row>
    <row r="95" spans="2:47" ht="12">
      <c r="B95" s="211" t="s">
        <v>21</v>
      </c>
      <c r="C95" s="212">
        <v>0</v>
      </c>
      <c r="D95" s="212">
        <v>1</v>
      </c>
      <c r="E95" s="212">
        <v>2</v>
      </c>
      <c r="F95" s="212">
        <v>3</v>
      </c>
      <c r="G95" s="212">
        <v>4</v>
      </c>
      <c r="H95" s="212">
        <v>5</v>
      </c>
      <c r="I95" s="212">
        <v>6</v>
      </c>
      <c r="J95" s="212">
        <v>7</v>
      </c>
      <c r="K95" s="212">
        <v>8</v>
      </c>
      <c r="L95" s="212">
        <v>9</v>
      </c>
      <c r="M95" s="212">
        <v>10</v>
      </c>
      <c r="N95" s="212">
        <v>11</v>
      </c>
      <c r="O95" s="212">
        <v>12</v>
      </c>
      <c r="P95" s="212">
        <v>13</v>
      </c>
      <c r="Q95" s="212">
        <v>14</v>
      </c>
      <c r="R95" s="212">
        <v>15</v>
      </c>
      <c r="S95" s="212">
        <v>16</v>
      </c>
      <c r="T95" s="212">
        <v>17</v>
      </c>
      <c r="U95" s="212">
        <v>18</v>
      </c>
      <c r="V95" s="212">
        <v>19</v>
      </c>
      <c r="W95" s="212">
        <v>20</v>
      </c>
      <c r="X95" s="212">
        <v>21</v>
      </c>
      <c r="Y95" s="212">
        <v>22</v>
      </c>
      <c r="Z95" s="212">
        <v>23</v>
      </c>
      <c r="AA95" s="212">
        <v>24</v>
      </c>
      <c r="AB95" s="212">
        <v>25</v>
      </c>
      <c r="AC95" s="212">
        <v>26</v>
      </c>
      <c r="AD95" s="212">
        <v>27</v>
      </c>
      <c r="AE95" s="212">
        <v>28</v>
      </c>
      <c r="AF95" s="212">
        <v>29</v>
      </c>
      <c r="AG95" s="212">
        <v>30</v>
      </c>
      <c r="AH95" s="212">
        <v>31</v>
      </c>
      <c r="AI95" s="212">
        <v>32</v>
      </c>
      <c r="AJ95" s="212">
        <v>33</v>
      </c>
      <c r="AK95" s="212">
        <v>34</v>
      </c>
      <c r="AL95" s="212">
        <v>35</v>
      </c>
      <c r="AM95" s="212">
        <v>36</v>
      </c>
      <c r="AN95" s="212">
        <v>37</v>
      </c>
      <c r="AO95" s="212">
        <v>38</v>
      </c>
      <c r="AP95" s="212">
        <v>39</v>
      </c>
      <c r="AQ95" s="212">
        <v>40</v>
      </c>
      <c r="AR95" s="213"/>
      <c r="AS95" s="213"/>
      <c r="AT95" s="213"/>
      <c r="AU95" s="213"/>
    </row>
    <row r="96" spans="2:47" ht="12">
      <c r="B96" s="214" t="s">
        <v>58</v>
      </c>
      <c r="C96" s="18"/>
      <c r="D96" s="215">
        <f aca="true" t="shared" si="42" ref="D96:AQ96">IF(D98&gt;0,1,0)</f>
        <v>1</v>
      </c>
      <c r="E96" s="215">
        <f t="shared" si="42"/>
        <v>1</v>
      </c>
      <c r="F96" s="215">
        <f t="shared" si="42"/>
        <v>1</v>
      </c>
      <c r="G96" s="215">
        <f t="shared" si="42"/>
        <v>1</v>
      </c>
      <c r="H96" s="215">
        <f t="shared" si="42"/>
        <v>1</v>
      </c>
      <c r="I96" s="215">
        <f t="shared" si="42"/>
        <v>1</v>
      </c>
      <c r="J96" s="215">
        <f t="shared" si="42"/>
        <v>1</v>
      </c>
      <c r="K96" s="215">
        <f t="shared" si="42"/>
        <v>1</v>
      </c>
      <c r="L96" s="215">
        <f t="shared" si="42"/>
        <v>1</v>
      </c>
      <c r="M96" s="215">
        <f t="shared" si="42"/>
        <v>1</v>
      </c>
      <c r="N96" s="215">
        <f t="shared" si="42"/>
        <v>1</v>
      </c>
      <c r="O96" s="215">
        <f t="shared" si="42"/>
        <v>1</v>
      </c>
      <c r="P96" s="215">
        <f t="shared" si="42"/>
        <v>1</v>
      </c>
      <c r="Q96" s="215">
        <f t="shared" si="42"/>
        <v>1</v>
      </c>
      <c r="R96" s="215">
        <f t="shared" si="42"/>
        <v>1</v>
      </c>
      <c r="S96" s="215">
        <f t="shared" si="42"/>
        <v>1</v>
      </c>
      <c r="T96" s="215">
        <f t="shared" si="42"/>
        <v>1</v>
      </c>
      <c r="U96" s="215">
        <f t="shared" si="42"/>
        <v>1</v>
      </c>
      <c r="V96" s="215">
        <f t="shared" si="42"/>
        <v>1</v>
      </c>
      <c r="W96" s="215">
        <f t="shared" si="42"/>
        <v>1</v>
      </c>
      <c r="X96" s="215">
        <f t="shared" si="42"/>
        <v>0</v>
      </c>
      <c r="Y96" s="215">
        <f t="shared" si="42"/>
        <v>0</v>
      </c>
      <c r="Z96" s="215">
        <f t="shared" si="42"/>
        <v>0</v>
      </c>
      <c r="AA96" s="215">
        <f t="shared" si="42"/>
        <v>0</v>
      </c>
      <c r="AB96" s="215">
        <f t="shared" si="42"/>
        <v>0</v>
      </c>
      <c r="AC96" s="215">
        <f t="shared" si="42"/>
        <v>0</v>
      </c>
      <c r="AD96" s="215">
        <f t="shared" si="42"/>
        <v>0</v>
      </c>
      <c r="AE96" s="215">
        <f t="shared" si="42"/>
        <v>0</v>
      </c>
      <c r="AF96" s="215">
        <f t="shared" si="42"/>
        <v>0</v>
      </c>
      <c r="AG96" s="215">
        <f t="shared" si="42"/>
        <v>0</v>
      </c>
      <c r="AH96" s="215">
        <f t="shared" si="42"/>
        <v>0</v>
      </c>
      <c r="AI96" s="215">
        <f t="shared" si="42"/>
        <v>0</v>
      </c>
      <c r="AJ96" s="215">
        <f t="shared" si="42"/>
        <v>0</v>
      </c>
      <c r="AK96" s="215">
        <f t="shared" si="42"/>
        <v>0</v>
      </c>
      <c r="AL96" s="215">
        <f t="shared" si="42"/>
        <v>0</v>
      </c>
      <c r="AM96" s="215">
        <f t="shared" si="42"/>
        <v>0</v>
      </c>
      <c r="AN96" s="215">
        <f t="shared" si="42"/>
        <v>0</v>
      </c>
      <c r="AO96" s="215">
        <f t="shared" si="42"/>
        <v>0</v>
      </c>
      <c r="AP96" s="215">
        <f t="shared" si="42"/>
        <v>0</v>
      </c>
      <c r="AQ96" s="215">
        <f t="shared" si="42"/>
        <v>0</v>
      </c>
      <c r="AR96" s="126"/>
      <c r="AS96" s="126"/>
      <c r="AT96" s="126"/>
      <c r="AU96" s="126"/>
    </row>
    <row r="97" spans="2:47" s="213" customFormat="1" ht="12">
      <c r="B97" s="126" t="s">
        <v>17</v>
      </c>
      <c r="C97" s="3"/>
      <c r="D97" s="216">
        <f aca="true" t="shared" si="43" ref="D97:AQ97">C102</f>
        <v>784285.9913793101</v>
      </c>
      <c r="E97" s="216">
        <f>D102</f>
        <v>762965.5241605128</v>
      </c>
      <c r="F97" s="216">
        <f t="shared" si="43"/>
        <v>740365.8289085877</v>
      </c>
      <c r="G97" s="216">
        <f t="shared" si="43"/>
        <v>716410.151941547</v>
      </c>
      <c r="H97" s="216">
        <f t="shared" si="43"/>
        <v>691017.134356484</v>
      </c>
      <c r="I97" s="216">
        <f>H102</f>
        <v>664100.5357163172</v>
      </c>
      <c r="J97" s="216">
        <f t="shared" si="43"/>
        <v>635568.9411577404</v>
      </c>
      <c r="K97" s="216">
        <f t="shared" si="43"/>
        <v>605325.4509256489</v>
      </c>
      <c r="L97" s="216">
        <f t="shared" si="43"/>
        <v>573267.351279632</v>
      </c>
      <c r="M97" s="216">
        <f t="shared" si="43"/>
        <v>539285.765654854</v>
      </c>
      <c r="N97" s="216">
        <f t="shared" si="43"/>
        <v>503265.2848925894</v>
      </c>
      <c r="O97" s="216">
        <f t="shared" si="43"/>
        <v>465083.57528458885</v>
      </c>
      <c r="P97" s="216">
        <f t="shared" si="43"/>
        <v>424610.9631001083</v>
      </c>
      <c r="Q97" s="216">
        <f t="shared" si="43"/>
        <v>381709.9941845589</v>
      </c>
      <c r="R97" s="216">
        <f t="shared" si="43"/>
        <v>336234.9671340766</v>
      </c>
      <c r="S97" s="216">
        <f t="shared" si="43"/>
        <v>288031.4384605653</v>
      </c>
      <c r="T97" s="216">
        <f t="shared" si="43"/>
        <v>236935.69806664332</v>
      </c>
      <c r="U97" s="216">
        <f t="shared" si="43"/>
        <v>182774.21324908605</v>
      </c>
      <c r="V97" s="216">
        <f t="shared" si="43"/>
        <v>125363.03934247533</v>
      </c>
      <c r="W97" s="216">
        <f t="shared" si="43"/>
        <v>64507.19500146796</v>
      </c>
      <c r="X97" s="216">
        <f t="shared" si="43"/>
        <v>1.5279510989785194E-10</v>
      </c>
      <c r="Y97" s="216">
        <f t="shared" si="43"/>
        <v>1.5279510989785194E-10</v>
      </c>
      <c r="Z97" s="216">
        <f t="shared" si="43"/>
        <v>1.5279510989785194E-10</v>
      </c>
      <c r="AA97" s="216">
        <f t="shared" si="43"/>
        <v>1.5279510989785194E-10</v>
      </c>
      <c r="AB97" s="216">
        <f t="shared" si="43"/>
        <v>1.5279510989785194E-10</v>
      </c>
      <c r="AC97" s="216">
        <f t="shared" si="43"/>
        <v>1.5279510989785194E-10</v>
      </c>
      <c r="AD97" s="216">
        <f t="shared" si="43"/>
        <v>1.5279510989785194E-10</v>
      </c>
      <c r="AE97" s="216">
        <f t="shared" si="43"/>
        <v>1.5279510989785194E-10</v>
      </c>
      <c r="AF97" s="216">
        <f t="shared" si="43"/>
        <v>1.5279510989785194E-10</v>
      </c>
      <c r="AG97" s="216">
        <f t="shared" si="43"/>
        <v>1.5279510989785194E-10</v>
      </c>
      <c r="AH97" s="216">
        <f t="shared" si="43"/>
        <v>1.5279510989785194E-10</v>
      </c>
      <c r="AI97" s="216">
        <f t="shared" si="43"/>
        <v>1.5279510989785194E-10</v>
      </c>
      <c r="AJ97" s="216">
        <f t="shared" si="43"/>
        <v>1.5279510989785194E-10</v>
      </c>
      <c r="AK97" s="216">
        <f t="shared" si="43"/>
        <v>1.5279510989785194E-10</v>
      </c>
      <c r="AL97" s="216">
        <f t="shared" si="43"/>
        <v>1.5279510989785194E-10</v>
      </c>
      <c r="AM97" s="216">
        <f t="shared" si="43"/>
        <v>1.5279510989785194E-10</v>
      </c>
      <c r="AN97" s="216">
        <f t="shared" si="43"/>
        <v>1.5279510989785194E-10</v>
      </c>
      <c r="AO97" s="216">
        <f t="shared" si="43"/>
        <v>1.5279510989785194E-10</v>
      </c>
      <c r="AP97" s="216">
        <f t="shared" si="43"/>
        <v>1.5279510989785194E-10</v>
      </c>
      <c r="AQ97" s="216">
        <f t="shared" si="43"/>
        <v>1.5279510989785194E-10</v>
      </c>
      <c r="AR97" s="217"/>
      <c r="AS97" s="217"/>
      <c r="AT97" s="217"/>
      <c r="AU97" s="217"/>
    </row>
    <row r="98" spans="2:43" s="126" customFormat="1" ht="12">
      <c r="B98" s="126" t="s">
        <v>18</v>
      </c>
      <c r="C98" s="3"/>
      <c r="D98" s="216">
        <f aca="true" t="shared" si="44" ref="D98:AQ98">IF(AND(D95&gt;0,$H$19&gt;=D95),-PMT($H$18,$H$19,$H$26),0)</f>
        <v>68377.62670155588</v>
      </c>
      <c r="E98" s="216">
        <f t="shared" si="44"/>
        <v>68377.62670155588</v>
      </c>
      <c r="F98" s="216">
        <f t="shared" si="44"/>
        <v>68377.62670155588</v>
      </c>
      <c r="G98" s="216">
        <f t="shared" si="44"/>
        <v>68377.62670155588</v>
      </c>
      <c r="H98" s="216">
        <f t="shared" si="44"/>
        <v>68377.62670155588</v>
      </c>
      <c r="I98" s="216">
        <f t="shared" si="44"/>
        <v>68377.62670155588</v>
      </c>
      <c r="J98" s="216">
        <f t="shared" si="44"/>
        <v>68377.62670155588</v>
      </c>
      <c r="K98" s="216">
        <f t="shared" si="44"/>
        <v>68377.62670155588</v>
      </c>
      <c r="L98" s="216">
        <f t="shared" si="44"/>
        <v>68377.62670155588</v>
      </c>
      <c r="M98" s="216">
        <f t="shared" si="44"/>
        <v>68377.62670155588</v>
      </c>
      <c r="N98" s="216">
        <f t="shared" si="44"/>
        <v>68377.62670155588</v>
      </c>
      <c r="O98" s="216">
        <f t="shared" si="44"/>
        <v>68377.62670155588</v>
      </c>
      <c r="P98" s="216">
        <f t="shared" si="44"/>
        <v>68377.62670155588</v>
      </c>
      <c r="Q98" s="216">
        <f t="shared" si="44"/>
        <v>68377.62670155588</v>
      </c>
      <c r="R98" s="216">
        <f t="shared" si="44"/>
        <v>68377.62670155588</v>
      </c>
      <c r="S98" s="216">
        <f t="shared" si="44"/>
        <v>68377.62670155588</v>
      </c>
      <c r="T98" s="216">
        <f t="shared" si="44"/>
        <v>68377.62670155588</v>
      </c>
      <c r="U98" s="216">
        <f t="shared" si="44"/>
        <v>68377.62670155588</v>
      </c>
      <c r="V98" s="216">
        <f t="shared" si="44"/>
        <v>68377.62670155588</v>
      </c>
      <c r="W98" s="216">
        <f t="shared" si="44"/>
        <v>68377.62670155588</v>
      </c>
      <c r="X98" s="216">
        <f t="shared" si="44"/>
        <v>0</v>
      </c>
      <c r="Y98" s="216">
        <f t="shared" si="44"/>
        <v>0</v>
      </c>
      <c r="Z98" s="216">
        <f t="shared" si="44"/>
        <v>0</v>
      </c>
      <c r="AA98" s="216">
        <f t="shared" si="44"/>
        <v>0</v>
      </c>
      <c r="AB98" s="216">
        <f t="shared" si="44"/>
        <v>0</v>
      </c>
      <c r="AC98" s="216">
        <f t="shared" si="44"/>
        <v>0</v>
      </c>
      <c r="AD98" s="216">
        <f t="shared" si="44"/>
        <v>0</v>
      </c>
      <c r="AE98" s="216">
        <f t="shared" si="44"/>
        <v>0</v>
      </c>
      <c r="AF98" s="216">
        <f t="shared" si="44"/>
        <v>0</v>
      </c>
      <c r="AG98" s="216">
        <f t="shared" si="44"/>
        <v>0</v>
      </c>
      <c r="AH98" s="216">
        <f t="shared" si="44"/>
        <v>0</v>
      </c>
      <c r="AI98" s="216">
        <f t="shared" si="44"/>
        <v>0</v>
      </c>
      <c r="AJ98" s="216">
        <f t="shared" si="44"/>
        <v>0</v>
      </c>
      <c r="AK98" s="216">
        <f t="shared" si="44"/>
        <v>0</v>
      </c>
      <c r="AL98" s="216">
        <f t="shared" si="44"/>
        <v>0</v>
      </c>
      <c r="AM98" s="216">
        <f t="shared" si="44"/>
        <v>0</v>
      </c>
      <c r="AN98" s="216">
        <f t="shared" si="44"/>
        <v>0</v>
      </c>
      <c r="AO98" s="216">
        <f t="shared" si="44"/>
        <v>0</v>
      </c>
      <c r="AP98" s="216">
        <f t="shared" si="44"/>
        <v>0</v>
      </c>
      <c r="AQ98" s="216">
        <f t="shared" si="44"/>
        <v>0</v>
      </c>
    </row>
    <row r="99" spans="2:47" s="217" customFormat="1" ht="12">
      <c r="B99" s="126" t="s">
        <v>19</v>
      </c>
      <c r="C99" s="3"/>
      <c r="D99" s="216">
        <f aca="true" t="shared" si="45" ref="D99:AQ99">IF(AND(D97&gt;0,$H$19&gt;=D95),D97*$H$18,0)</f>
        <v>47057.15948275861</v>
      </c>
      <c r="E99" s="216">
        <f t="shared" si="45"/>
        <v>45777.93144963077</v>
      </c>
      <c r="F99" s="216">
        <f t="shared" si="45"/>
        <v>44421.94973451526</v>
      </c>
      <c r="G99" s="216">
        <f t="shared" si="45"/>
        <v>42984.60911649282</v>
      </c>
      <c r="H99" s="216">
        <f t="shared" si="45"/>
        <v>41461.02806138904</v>
      </c>
      <c r="I99" s="216">
        <f t="shared" si="45"/>
        <v>39846.032142979035</v>
      </c>
      <c r="J99" s="216">
        <f t="shared" si="45"/>
        <v>38134.13646946442</v>
      </c>
      <c r="K99" s="216">
        <f t="shared" si="45"/>
        <v>36319.527055538936</v>
      </c>
      <c r="L99" s="216">
        <f t="shared" si="45"/>
        <v>34396.04107677792</v>
      </c>
      <c r="M99" s="216">
        <f t="shared" si="45"/>
        <v>32357.14593929124</v>
      </c>
      <c r="N99" s="216">
        <f t="shared" si="45"/>
        <v>30195.917093555363</v>
      </c>
      <c r="O99" s="216">
        <f t="shared" si="45"/>
        <v>27905.01451707533</v>
      </c>
      <c r="P99" s="216">
        <f t="shared" si="45"/>
        <v>25476.657786006497</v>
      </c>
      <c r="Q99" s="216">
        <f t="shared" si="45"/>
        <v>22902.599651073535</v>
      </c>
      <c r="R99" s="216">
        <f t="shared" si="45"/>
        <v>20174.098028044595</v>
      </c>
      <c r="S99" s="216">
        <f t="shared" si="45"/>
        <v>17281.88630763392</v>
      </c>
      <c r="T99" s="216">
        <f t="shared" si="45"/>
        <v>14216.141883998598</v>
      </c>
      <c r="U99" s="216">
        <f t="shared" si="45"/>
        <v>10966.452794945162</v>
      </c>
      <c r="V99" s="216">
        <f t="shared" si="45"/>
        <v>7521.782360548519</v>
      </c>
      <c r="W99" s="216">
        <f t="shared" si="45"/>
        <v>3870.4317000880774</v>
      </c>
      <c r="X99" s="216">
        <f t="shared" si="45"/>
        <v>0</v>
      </c>
      <c r="Y99" s="216">
        <f t="shared" si="45"/>
        <v>0</v>
      </c>
      <c r="Z99" s="216">
        <f t="shared" si="45"/>
        <v>0</v>
      </c>
      <c r="AA99" s="216">
        <f t="shared" si="45"/>
        <v>0</v>
      </c>
      <c r="AB99" s="216">
        <f t="shared" si="45"/>
        <v>0</v>
      </c>
      <c r="AC99" s="216">
        <f t="shared" si="45"/>
        <v>0</v>
      </c>
      <c r="AD99" s="216">
        <f t="shared" si="45"/>
        <v>0</v>
      </c>
      <c r="AE99" s="216">
        <f t="shared" si="45"/>
        <v>0</v>
      </c>
      <c r="AF99" s="216">
        <f t="shared" si="45"/>
        <v>0</v>
      </c>
      <c r="AG99" s="216">
        <f t="shared" si="45"/>
        <v>0</v>
      </c>
      <c r="AH99" s="216">
        <f t="shared" si="45"/>
        <v>0</v>
      </c>
      <c r="AI99" s="216">
        <f t="shared" si="45"/>
        <v>0</v>
      </c>
      <c r="AJ99" s="216">
        <f t="shared" si="45"/>
        <v>0</v>
      </c>
      <c r="AK99" s="216">
        <f t="shared" si="45"/>
        <v>0</v>
      </c>
      <c r="AL99" s="216">
        <f t="shared" si="45"/>
        <v>0</v>
      </c>
      <c r="AM99" s="216">
        <f t="shared" si="45"/>
        <v>0</v>
      </c>
      <c r="AN99" s="216">
        <f t="shared" si="45"/>
        <v>0</v>
      </c>
      <c r="AO99" s="216">
        <f t="shared" si="45"/>
        <v>0</v>
      </c>
      <c r="AP99" s="216">
        <f t="shared" si="45"/>
        <v>0</v>
      </c>
      <c r="AQ99" s="216">
        <f t="shared" si="45"/>
        <v>0</v>
      </c>
      <c r="AR99" s="126"/>
      <c r="AS99" s="126"/>
      <c r="AT99" s="126"/>
      <c r="AU99" s="126"/>
    </row>
    <row r="100" spans="3:43" s="126" customFormat="1" ht="12">
      <c r="C100" s="3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</row>
    <row r="101" spans="2:43" s="126" customFormat="1" ht="12">
      <c r="B101" s="126" t="s">
        <v>46</v>
      </c>
      <c r="C101" s="3"/>
      <c r="D101" s="216">
        <f aca="true" t="shared" si="46" ref="D101:AQ101">IF($H$19&gt;=D95,D98-D99,0)</f>
        <v>21320.467218797276</v>
      </c>
      <c r="E101" s="216">
        <f t="shared" si="46"/>
        <v>22599.695251925114</v>
      </c>
      <c r="F101" s="216">
        <f t="shared" si="46"/>
        <v>23955.67696704062</v>
      </c>
      <c r="G101" s="216">
        <f t="shared" si="46"/>
        <v>25393.017585063062</v>
      </c>
      <c r="H101" s="216">
        <f t="shared" si="46"/>
        <v>26916.59864016684</v>
      </c>
      <c r="I101" s="216">
        <f t="shared" si="46"/>
        <v>28531.59455857685</v>
      </c>
      <c r="J101" s="216">
        <f t="shared" si="46"/>
        <v>30243.490232091463</v>
      </c>
      <c r="K101" s="216">
        <f t="shared" si="46"/>
        <v>32058.099646016948</v>
      </c>
      <c r="L101" s="216">
        <f t="shared" si="46"/>
        <v>33981.58562477797</v>
      </c>
      <c r="M101" s="216">
        <f t="shared" si="46"/>
        <v>36020.48076226465</v>
      </c>
      <c r="N101" s="216">
        <f t="shared" si="46"/>
        <v>38181.70960800052</v>
      </c>
      <c r="O101" s="216">
        <f t="shared" si="46"/>
        <v>40472.61218448055</v>
      </c>
      <c r="P101" s="216">
        <f t="shared" si="46"/>
        <v>42900.96891554938</v>
      </c>
      <c r="Q101" s="216">
        <f t="shared" si="46"/>
        <v>45475.02705048235</v>
      </c>
      <c r="R101" s="216">
        <f t="shared" si="46"/>
        <v>48203.52867351129</v>
      </c>
      <c r="S101" s="216">
        <f t="shared" si="46"/>
        <v>51095.740393921966</v>
      </c>
      <c r="T101" s="216">
        <f t="shared" si="46"/>
        <v>54161.484817557284</v>
      </c>
      <c r="U101" s="216">
        <f t="shared" si="46"/>
        <v>57411.173906610726</v>
      </c>
      <c r="V101" s="216">
        <f t="shared" si="46"/>
        <v>60855.84434100737</v>
      </c>
      <c r="W101" s="216">
        <f t="shared" si="46"/>
        <v>64507.19500146781</v>
      </c>
      <c r="X101" s="216">
        <f t="shared" si="46"/>
        <v>0</v>
      </c>
      <c r="Y101" s="216">
        <f t="shared" si="46"/>
        <v>0</v>
      </c>
      <c r="Z101" s="216">
        <f t="shared" si="46"/>
        <v>0</v>
      </c>
      <c r="AA101" s="216">
        <f t="shared" si="46"/>
        <v>0</v>
      </c>
      <c r="AB101" s="216">
        <f t="shared" si="46"/>
        <v>0</v>
      </c>
      <c r="AC101" s="216">
        <f t="shared" si="46"/>
        <v>0</v>
      </c>
      <c r="AD101" s="216">
        <f t="shared" si="46"/>
        <v>0</v>
      </c>
      <c r="AE101" s="216">
        <f t="shared" si="46"/>
        <v>0</v>
      </c>
      <c r="AF101" s="216">
        <f t="shared" si="46"/>
        <v>0</v>
      </c>
      <c r="AG101" s="216">
        <f t="shared" si="46"/>
        <v>0</v>
      </c>
      <c r="AH101" s="216">
        <f t="shared" si="46"/>
        <v>0</v>
      </c>
      <c r="AI101" s="216">
        <f t="shared" si="46"/>
        <v>0</v>
      </c>
      <c r="AJ101" s="216">
        <f t="shared" si="46"/>
        <v>0</v>
      </c>
      <c r="AK101" s="216">
        <f t="shared" si="46"/>
        <v>0</v>
      </c>
      <c r="AL101" s="216">
        <f t="shared" si="46"/>
        <v>0</v>
      </c>
      <c r="AM101" s="216">
        <f t="shared" si="46"/>
        <v>0</v>
      </c>
      <c r="AN101" s="216">
        <f t="shared" si="46"/>
        <v>0</v>
      </c>
      <c r="AO101" s="216">
        <f t="shared" si="46"/>
        <v>0</v>
      </c>
      <c r="AP101" s="216">
        <f t="shared" si="46"/>
        <v>0</v>
      </c>
      <c r="AQ101" s="216">
        <f t="shared" si="46"/>
        <v>0</v>
      </c>
    </row>
    <row r="102" spans="2:43" s="126" customFormat="1" ht="12">
      <c r="B102" s="126" t="s">
        <v>20</v>
      </c>
      <c r="C102" s="127">
        <f aca="true" t="shared" si="47" ref="C102:AP102">IF(D95=1,IF($H$19&gt;=D95,$H$26,0),C97-C101)</f>
        <v>784285.9913793101</v>
      </c>
      <c r="D102" s="127">
        <f t="shared" si="47"/>
        <v>762965.5241605128</v>
      </c>
      <c r="E102" s="127">
        <f t="shared" si="47"/>
        <v>740365.8289085877</v>
      </c>
      <c r="F102" s="127">
        <f t="shared" si="47"/>
        <v>716410.151941547</v>
      </c>
      <c r="G102" s="127">
        <f t="shared" si="47"/>
        <v>691017.134356484</v>
      </c>
      <c r="H102" s="127">
        <f t="shared" si="47"/>
        <v>664100.5357163172</v>
      </c>
      <c r="I102" s="127">
        <f t="shared" si="47"/>
        <v>635568.9411577404</v>
      </c>
      <c r="J102" s="127">
        <f t="shared" si="47"/>
        <v>605325.4509256489</v>
      </c>
      <c r="K102" s="127">
        <f t="shared" si="47"/>
        <v>573267.351279632</v>
      </c>
      <c r="L102" s="127">
        <f t="shared" si="47"/>
        <v>539285.765654854</v>
      </c>
      <c r="M102" s="127">
        <f t="shared" si="47"/>
        <v>503265.2848925894</v>
      </c>
      <c r="N102" s="127">
        <f t="shared" si="47"/>
        <v>465083.57528458885</v>
      </c>
      <c r="O102" s="127">
        <f t="shared" si="47"/>
        <v>424610.9631001083</v>
      </c>
      <c r="P102" s="127">
        <f t="shared" si="47"/>
        <v>381709.9941845589</v>
      </c>
      <c r="Q102" s="127">
        <f t="shared" si="47"/>
        <v>336234.9671340766</v>
      </c>
      <c r="R102" s="127">
        <f t="shared" si="47"/>
        <v>288031.4384605653</v>
      </c>
      <c r="S102" s="127">
        <f t="shared" si="47"/>
        <v>236935.69806664332</v>
      </c>
      <c r="T102" s="127">
        <f t="shared" si="47"/>
        <v>182774.21324908605</v>
      </c>
      <c r="U102" s="127">
        <f t="shared" si="47"/>
        <v>125363.03934247533</v>
      </c>
      <c r="V102" s="127">
        <f t="shared" si="47"/>
        <v>64507.19500146796</v>
      </c>
      <c r="W102" s="127">
        <f t="shared" si="47"/>
        <v>1.5279510989785194E-10</v>
      </c>
      <c r="X102" s="127">
        <f t="shared" si="47"/>
        <v>1.5279510989785194E-10</v>
      </c>
      <c r="Y102" s="127">
        <f t="shared" si="47"/>
        <v>1.5279510989785194E-10</v>
      </c>
      <c r="Z102" s="127">
        <f t="shared" si="47"/>
        <v>1.5279510989785194E-10</v>
      </c>
      <c r="AA102" s="127">
        <f t="shared" si="47"/>
        <v>1.5279510989785194E-10</v>
      </c>
      <c r="AB102" s="127">
        <f t="shared" si="47"/>
        <v>1.5279510989785194E-10</v>
      </c>
      <c r="AC102" s="127">
        <f t="shared" si="47"/>
        <v>1.5279510989785194E-10</v>
      </c>
      <c r="AD102" s="127">
        <f t="shared" si="47"/>
        <v>1.5279510989785194E-10</v>
      </c>
      <c r="AE102" s="127">
        <f t="shared" si="47"/>
        <v>1.5279510989785194E-10</v>
      </c>
      <c r="AF102" s="127">
        <f t="shared" si="47"/>
        <v>1.5279510989785194E-10</v>
      </c>
      <c r="AG102" s="127">
        <f t="shared" si="47"/>
        <v>1.5279510989785194E-10</v>
      </c>
      <c r="AH102" s="127">
        <f t="shared" si="47"/>
        <v>1.5279510989785194E-10</v>
      </c>
      <c r="AI102" s="127">
        <f t="shared" si="47"/>
        <v>1.5279510989785194E-10</v>
      </c>
      <c r="AJ102" s="127">
        <f t="shared" si="47"/>
        <v>1.5279510989785194E-10</v>
      </c>
      <c r="AK102" s="127">
        <f t="shared" si="47"/>
        <v>1.5279510989785194E-10</v>
      </c>
      <c r="AL102" s="127">
        <f t="shared" si="47"/>
        <v>1.5279510989785194E-10</v>
      </c>
      <c r="AM102" s="127">
        <f t="shared" si="47"/>
        <v>1.5279510989785194E-10</v>
      </c>
      <c r="AN102" s="127">
        <f t="shared" si="47"/>
        <v>1.5279510989785194E-10</v>
      </c>
      <c r="AO102" s="127">
        <f t="shared" si="47"/>
        <v>1.5279510989785194E-10</v>
      </c>
      <c r="AP102" s="127">
        <f t="shared" si="47"/>
        <v>1.5279510989785194E-10</v>
      </c>
      <c r="AQ102" s="127" t="e">
        <f>IF(#REF!=1,IF($H$19&gt;=#REF!,$H$26,0),AQ97-AQ101)</f>
        <v>#REF!</v>
      </c>
    </row>
    <row r="103" spans="3:43" s="126" customFormat="1" ht="12"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</row>
    <row r="104" spans="2:43" s="126" customFormat="1" ht="12">
      <c r="B104" s="1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2:43" s="126" customFormat="1" ht="12">
      <c r="B105" s="211" t="s">
        <v>123</v>
      </c>
      <c r="C105" s="212">
        <f>C81</f>
        <v>0</v>
      </c>
      <c r="D105" s="212">
        <v>1</v>
      </c>
      <c r="E105" s="212">
        <v>2</v>
      </c>
      <c r="F105" s="212">
        <v>3</v>
      </c>
      <c r="G105" s="212">
        <v>4</v>
      </c>
      <c r="H105" s="212">
        <v>5</v>
      </c>
      <c r="I105" s="212">
        <v>6</v>
      </c>
      <c r="J105" s="212">
        <v>7</v>
      </c>
      <c r="K105" s="212">
        <v>8</v>
      </c>
      <c r="L105" s="212">
        <v>9</v>
      </c>
      <c r="M105" s="212">
        <v>10</v>
      </c>
      <c r="N105" s="212">
        <v>11</v>
      </c>
      <c r="O105" s="212">
        <v>12</v>
      </c>
      <c r="P105" s="212">
        <v>13</v>
      </c>
      <c r="Q105" s="212">
        <v>14</v>
      </c>
      <c r="R105" s="212">
        <v>15</v>
      </c>
      <c r="S105" s="212">
        <v>16</v>
      </c>
      <c r="T105" s="212">
        <v>17</v>
      </c>
      <c r="U105" s="212">
        <v>18</v>
      </c>
      <c r="V105" s="212">
        <v>19</v>
      </c>
      <c r="W105" s="212">
        <v>20</v>
      </c>
      <c r="X105" s="212">
        <v>21</v>
      </c>
      <c r="Y105" s="212">
        <v>22</v>
      </c>
      <c r="Z105" s="212">
        <v>23</v>
      </c>
      <c r="AA105" s="212">
        <v>24</v>
      </c>
      <c r="AB105" s="212">
        <v>25</v>
      </c>
      <c r="AC105" s="212">
        <v>26</v>
      </c>
      <c r="AD105" s="212">
        <v>27</v>
      </c>
      <c r="AE105" s="212">
        <v>28</v>
      </c>
      <c r="AF105" s="212">
        <v>29</v>
      </c>
      <c r="AG105" s="212">
        <v>30</v>
      </c>
      <c r="AH105" s="212">
        <v>31</v>
      </c>
      <c r="AI105" s="212">
        <v>32</v>
      </c>
      <c r="AJ105" s="212">
        <v>33</v>
      </c>
      <c r="AK105" s="212">
        <v>34</v>
      </c>
      <c r="AL105" s="212">
        <v>35</v>
      </c>
      <c r="AM105" s="212">
        <v>36</v>
      </c>
      <c r="AN105" s="212">
        <v>37</v>
      </c>
      <c r="AO105" s="212">
        <v>38</v>
      </c>
      <c r="AP105" s="212">
        <v>39</v>
      </c>
      <c r="AQ105" s="212">
        <v>40</v>
      </c>
    </row>
    <row r="106" spans="2:43" s="126" customFormat="1" ht="12">
      <c r="B106" s="126" t="s">
        <v>17</v>
      </c>
      <c r="C106" s="216"/>
      <c r="D106" s="216">
        <f aca="true" t="shared" si="48" ref="D106:AQ106">+C110</f>
        <v>0</v>
      </c>
      <c r="E106" s="216">
        <f t="shared" si="48"/>
        <v>14523.814655172411</v>
      </c>
      <c r="F106" s="216">
        <f t="shared" si="48"/>
        <v>29047.629310344822</v>
      </c>
      <c r="G106" s="216">
        <f t="shared" si="48"/>
        <v>43571.44396551723</v>
      </c>
      <c r="H106" s="216">
        <f t="shared" si="48"/>
        <v>58095.258620689645</v>
      </c>
      <c r="I106" s="216">
        <f t="shared" si="48"/>
        <v>72619.07327586206</v>
      </c>
      <c r="J106" s="216">
        <f t="shared" si="48"/>
        <v>87142.88793103446</v>
      </c>
      <c r="K106" s="216">
        <f t="shared" si="48"/>
        <v>101666.70258620687</v>
      </c>
      <c r="L106" s="216">
        <f t="shared" si="48"/>
        <v>116190.51724137928</v>
      </c>
      <c r="M106" s="216">
        <f t="shared" si="48"/>
        <v>130714.33189655168</v>
      </c>
      <c r="N106" s="216">
        <f t="shared" si="48"/>
        <v>-2.9103830456733704E-11</v>
      </c>
      <c r="O106" s="216">
        <f t="shared" si="48"/>
        <v>14523.814655172382</v>
      </c>
      <c r="P106" s="216">
        <f t="shared" si="48"/>
        <v>29047.629310344793</v>
      </c>
      <c r="Q106" s="216">
        <f t="shared" si="48"/>
        <v>43571.4439655172</v>
      </c>
      <c r="R106" s="216">
        <f t="shared" si="48"/>
        <v>58095.258620689616</v>
      </c>
      <c r="S106" s="216">
        <f t="shared" si="48"/>
        <v>72619.07327586203</v>
      </c>
      <c r="T106" s="216">
        <f t="shared" si="48"/>
        <v>87142.88793103443</v>
      </c>
      <c r="U106" s="216">
        <f t="shared" si="48"/>
        <v>101666.70258620684</v>
      </c>
      <c r="V106" s="216">
        <f t="shared" si="48"/>
        <v>116190.51724137925</v>
      </c>
      <c r="W106" s="216">
        <f t="shared" si="48"/>
        <v>130714.33189655165</v>
      </c>
      <c r="X106" s="216">
        <f t="shared" si="48"/>
        <v>0</v>
      </c>
      <c r="Y106" s="216">
        <f t="shared" si="48"/>
        <v>0</v>
      </c>
      <c r="Z106" s="216">
        <f t="shared" si="48"/>
        <v>0</v>
      </c>
      <c r="AA106" s="216">
        <f t="shared" si="48"/>
        <v>0</v>
      </c>
      <c r="AB106" s="216">
        <f t="shared" si="48"/>
        <v>0</v>
      </c>
      <c r="AC106" s="216">
        <f t="shared" si="48"/>
        <v>0</v>
      </c>
      <c r="AD106" s="216">
        <f t="shared" si="48"/>
        <v>0</v>
      </c>
      <c r="AE106" s="216">
        <f t="shared" si="48"/>
        <v>0</v>
      </c>
      <c r="AF106" s="216">
        <f t="shared" si="48"/>
        <v>0</v>
      </c>
      <c r="AG106" s="216">
        <f t="shared" si="48"/>
        <v>0</v>
      </c>
      <c r="AH106" s="216">
        <f t="shared" si="48"/>
        <v>0</v>
      </c>
      <c r="AI106" s="216">
        <f t="shared" si="48"/>
        <v>0</v>
      </c>
      <c r="AJ106" s="216">
        <f t="shared" si="48"/>
        <v>0</v>
      </c>
      <c r="AK106" s="216">
        <f t="shared" si="48"/>
        <v>0</v>
      </c>
      <c r="AL106" s="216">
        <f t="shared" si="48"/>
        <v>0</v>
      </c>
      <c r="AM106" s="216">
        <f t="shared" si="48"/>
        <v>0</v>
      </c>
      <c r="AN106" s="216">
        <f t="shared" si="48"/>
        <v>0</v>
      </c>
      <c r="AO106" s="216">
        <f t="shared" si="48"/>
        <v>0</v>
      </c>
      <c r="AP106" s="216">
        <f t="shared" si="48"/>
        <v>0</v>
      </c>
      <c r="AQ106" s="216">
        <f t="shared" si="48"/>
        <v>0</v>
      </c>
    </row>
    <row r="107" spans="2:43" s="126" customFormat="1" ht="12">
      <c r="B107" s="126" t="s">
        <v>62</v>
      </c>
      <c r="C107" s="216">
        <v>0</v>
      </c>
      <c r="D107" s="216">
        <f aca="true" t="shared" si="49" ref="D107:AQ107">$C$24*IF(D31&lt;=$C$17,1,0)</f>
        <v>14523.814655172411</v>
      </c>
      <c r="E107" s="216">
        <f t="shared" si="49"/>
        <v>14523.814655172411</v>
      </c>
      <c r="F107" s="216">
        <f t="shared" si="49"/>
        <v>14523.814655172411</v>
      </c>
      <c r="G107" s="216">
        <f t="shared" si="49"/>
        <v>14523.814655172411</v>
      </c>
      <c r="H107" s="216">
        <f t="shared" si="49"/>
        <v>14523.814655172411</v>
      </c>
      <c r="I107" s="216">
        <f t="shared" si="49"/>
        <v>14523.814655172411</v>
      </c>
      <c r="J107" s="216">
        <f t="shared" si="49"/>
        <v>14523.814655172411</v>
      </c>
      <c r="K107" s="216">
        <f t="shared" si="49"/>
        <v>14523.814655172411</v>
      </c>
      <c r="L107" s="216">
        <f t="shared" si="49"/>
        <v>14523.814655172411</v>
      </c>
      <c r="M107" s="216">
        <f t="shared" si="49"/>
        <v>14523.814655172411</v>
      </c>
      <c r="N107" s="216">
        <f t="shared" si="49"/>
        <v>14523.814655172411</v>
      </c>
      <c r="O107" s="216">
        <f t="shared" si="49"/>
        <v>14523.814655172411</v>
      </c>
      <c r="P107" s="216">
        <f t="shared" si="49"/>
        <v>14523.814655172411</v>
      </c>
      <c r="Q107" s="216">
        <f t="shared" si="49"/>
        <v>14523.814655172411</v>
      </c>
      <c r="R107" s="216">
        <f t="shared" si="49"/>
        <v>14523.814655172411</v>
      </c>
      <c r="S107" s="216">
        <f t="shared" si="49"/>
        <v>14523.814655172411</v>
      </c>
      <c r="T107" s="216">
        <f t="shared" si="49"/>
        <v>14523.814655172411</v>
      </c>
      <c r="U107" s="216">
        <f t="shared" si="49"/>
        <v>14523.814655172411</v>
      </c>
      <c r="V107" s="216">
        <f t="shared" si="49"/>
        <v>14523.814655172411</v>
      </c>
      <c r="W107" s="216">
        <f t="shared" si="49"/>
        <v>14523.814655172411</v>
      </c>
      <c r="X107" s="216">
        <f t="shared" si="49"/>
        <v>0</v>
      </c>
      <c r="Y107" s="216">
        <f t="shared" si="49"/>
        <v>0</v>
      </c>
      <c r="Z107" s="216">
        <f t="shared" si="49"/>
        <v>0</v>
      </c>
      <c r="AA107" s="216">
        <f t="shared" si="49"/>
        <v>0</v>
      </c>
      <c r="AB107" s="216">
        <f t="shared" si="49"/>
        <v>0</v>
      </c>
      <c r="AC107" s="216">
        <f t="shared" si="49"/>
        <v>0</v>
      </c>
      <c r="AD107" s="216">
        <f t="shared" si="49"/>
        <v>0</v>
      </c>
      <c r="AE107" s="216">
        <f t="shared" si="49"/>
        <v>0</v>
      </c>
      <c r="AF107" s="216">
        <f t="shared" si="49"/>
        <v>0</v>
      </c>
      <c r="AG107" s="216">
        <f t="shared" si="49"/>
        <v>0</v>
      </c>
      <c r="AH107" s="216">
        <f t="shared" si="49"/>
        <v>0</v>
      </c>
      <c r="AI107" s="216">
        <f t="shared" si="49"/>
        <v>0</v>
      </c>
      <c r="AJ107" s="216">
        <f t="shared" si="49"/>
        <v>0</v>
      </c>
      <c r="AK107" s="216">
        <f t="shared" si="49"/>
        <v>0</v>
      </c>
      <c r="AL107" s="216">
        <f t="shared" si="49"/>
        <v>0</v>
      </c>
      <c r="AM107" s="216">
        <f t="shared" si="49"/>
        <v>0</v>
      </c>
      <c r="AN107" s="216">
        <f t="shared" si="49"/>
        <v>0</v>
      </c>
      <c r="AO107" s="216">
        <f t="shared" si="49"/>
        <v>0</v>
      </c>
      <c r="AP107" s="216">
        <f t="shared" si="49"/>
        <v>0</v>
      </c>
      <c r="AQ107" s="216">
        <f t="shared" si="49"/>
        <v>0</v>
      </c>
    </row>
    <row r="108" spans="2:43" s="126" customFormat="1" ht="12">
      <c r="B108" s="126" t="s">
        <v>63</v>
      </c>
      <c r="C108" s="216">
        <f>+-(MAX(0,C33))</f>
        <v>0</v>
      </c>
      <c r="D108" s="207">
        <f aca="true" t="shared" si="50" ref="D108:AQ108">-IF(OR(D$105=$C$25,D$105=2*$C$25,D$105=3*$C$25),1,0)*$C$23*IF(D105&lt;=$C$17,1,0)</f>
        <v>0</v>
      </c>
      <c r="E108" s="207">
        <f t="shared" si="50"/>
        <v>0</v>
      </c>
      <c r="F108" s="207">
        <f t="shared" si="50"/>
        <v>0</v>
      </c>
      <c r="G108" s="207">
        <f t="shared" si="50"/>
        <v>0</v>
      </c>
      <c r="H108" s="207">
        <f t="shared" si="50"/>
        <v>0</v>
      </c>
      <c r="I108" s="207">
        <f t="shared" si="50"/>
        <v>0</v>
      </c>
      <c r="J108" s="207">
        <f t="shared" si="50"/>
        <v>0</v>
      </c>
      <c r="K108" s="207">
        <f t="shared" si="50"/>
        <v>0</v>
      </c>
      <c r="L108" s="207">
        <f t="shared" si="50"/>
        <v>0</v>
      </c>
      <c r="M108" s="207">
        <f t="shared" si="50"/>
        <v>-145238.14655172412</v>
      </c>
      <c r="N108" s="207">
        <f t="shared" si="50"/>
        <v>0</v>
      </c>
      <c r="O108" s="207">
        <f t="shared" si="50"/>
        <v>0</v>
      </c>
      <c r="P108" s="207">
        <f t="shared" si="50"/>
        <v>0</v>
      </c>
      <c r="Q108" s="207">
        <f t="shared" si="50"/>
        <v>0</v>
      </c>
      <c r="R108" s="207">
        <f t="shared" si="50"/>
        <v>0</v>
      </c>
      <c r="S108" s="207">
        <f t="shared" si="50"/>
        <v>0</v>
      </c>
      <c r="T108" s="207">
        <f t="shared" si="50"/>
        <v>0</v>
      </c>
      <c r="U108" s="207">
        <f t="shared" si="50"/>
        <v>0</v>
      </c>
      <c r="V108" s="207">
        <f t="shared" si="50"/>
        <v>0</v>
      </c>
      <c r="W108" s="207">
        <f t="shared" si="50"/>
        <v>-145238.14655172412</v>
      </c>
      <c r="X108" s="207">
        <f t="shared" si="50"/>
        <v>0</v>
      </c>
      <c r="Y108" s="207">
        <f t="shared" si="50"/>
        <v>0</v>
      </c>
      <c r="Z108" s="207">
        <f t="shared" si="50"/>
        <v>0</v>
      </c>
      <c r="AA108" s="207">
        <f t="shared" si="50"/>
        <v>0</v>
      </c>
      <c r="AB108" s="207">
        <f t="shared" si="50"/>
        <v>0</v>
      </c>
      <c r="AC108" s="207">
        <f t="shared" si="50"/>
        <v>0</v>
      </c>
      <c r="AD108" s="207">
        <f t="shared" si="50"/>
        <v>0</v>
      </c>
      <c r="AE108" s="207">
        <f t="shared" si="50"/>
        <v>0</v>
      </c>
      <c r="AF108" s="207">
        <f t="shared" si="50"/>
        <v>0</v>
      </c>
      <c r="AG108" s="207">
        <f t="shared" si="50"/>
        <v>0</v>
      </c>
      <c r="AH108" s="207">
        <f t="shared" si="50"/>
        <v>0</v>
      </c>
      <c r="AI108" s="207">
        <f t="shared" si="50"/>
        <v>0</v>
      </c>
      <c r="AJ108" s="207">
        <f t="shared" si="50"/>
        <v>0</v>
      </c>
      <c r="AK108" s="207">
        <f t="shared" si="50"/>
        <v>0</v>
      </c>
      <c r="AL108" s="207">
        <f t="shared" si="50"/>
        <v>0</v>
      </c>
      <c r="AM108" s="207">
        <f t="shared" si="50"/>
        <v>0</v>
      </c>
      <c r="AN108" s="207">
        <f t="shared" si="50"/>
        <v>0</v>
      </c>
      <c r="AO108" s="207">
        <f t="shared" si="50"/>
        <v>0</v>
      </c>
      <c r="AP108" s="207">
        <f t="shared" si="50"/>
        <v>0</v>
      </c>
      <c r="AQ108" s="207">
        <f t="shared" si="50"/>
        <v>0</v>
      </c>
    </row>
    <row r="109" spans="2:43" s="126" customFormat="1" ht="12">
      <c r="B109" s="126" t="s">
        <v>124</v>
      </c>
      <c r="C109" s="216"/>
      <c r="D109" s="207">
        <f>-IF(D105=$C$17,D106+D107+D108,0)</f>
        <v>0</v>
      </c>
      <c r="E109" s="207">
        <f aca="true" t="shared" si="51" ref="E109:AQ109">-IF(E105=$C$17,E106+E107+E108,0)</f>
        <v>0</v>
      </c>
      <c r="F109" s="207">
        <f t="shared" si="51"/>
        <v>0</v>
      </c>
      <c r="G109" s="207">
        <f t="shared" si="51"/>
        <v>0</v>
      </c>
      <c r="H109" s="207">
        <f t="shared" si="51"/>
        <v>0</v>
      </c>
      <c r="I109" s="207">
        <f t="shared" si="51"/>
        <v>0</v>
      </c>
      <c r="J109" s="207">
        <f t="shared" si="51"/>
        <v>0</v>
      </c>
      <c r="K109" s="207">
        <f t="shared" si="51"/>
        <v>0</v>
      </c>
      <c r="L109" s="207">
        <f t="shared" si="51"/>
        <v>0</v>
      </c>
      <c r="M109" s="207">
        <f t="shared" si="51"/>
        <v>0</v>
      </c>
      <c r="N109" s="207">
        <f t="shared" si="51"/>
        <v>0</v>
      </c>
      <c r="O109" s="207">
        <f t="shared" si="51"/>
        <v>0</v>
      </c>
      <c r="P109" s="207">
        <f t="shared" si="51"/>
        <v>0</v>
      </c>
      <c r="Q109" s="207">
        <f t="shared" si="51"/>
        <v>0</v>
      </c>
      <c r="R109" s="207">
        <f t="shared" si="51"/>
        <v>0</v>
      </c>
      <c r="S109" s="207">
        <f t="shared" si="51"/>
        <v>0</v>
      </c>
      <c r="T109" s="207">
        <f t="shared" si="51"/>
        <v>0</v>
      </c>
      <c r="U109" s="207">
        <f t="shared" si="51"/>
        <v>0</v>
      </c>
      <c r="V109" s="207">
        <f t="shared" si="51"/>
        <v>0</v>
      </c>
      <c r="W109" s="207">
        <f t="shared" si="51"/>
        <v>5.820766091346741E-11</v>
      </c>
      <c r="X109" s="207">
        <f t="shared" si="51"/>
        <v>0</v>
      </c>
      <c r="Y109" s="207">
        <f t="shared" si="51"/>
        <v>0</v>
      </c>
      <c r="Z109" s="207">
        <f t="shared" si="51"/>
        <v>0</v>
      </c>
      <c r="AA109" s="207">
        <f t="shared" si="51"/>
        <v>0</v>
      </c>
      <c r="AB109" s="207">
        <f t="shared" si="51"/>
        <v>0</v>
      </c>
      <c r="AC109" s="207">
        <f t="shared" si="51"/>
        <v>0</v>
      </c>
      <c r="AD109" s="207">
        <f t="shared" si="51"/>
        <v>0</v>
      </c>
      <c r="AE109" s="207">
        <f t="shared" si="51"/>
        <v>0</v>
      </c>
      <c r="AF109" s="207">
        <f t="shared" si="51"/>
        <v>0</v>
      </c>
      <c r="AG109" s="207">
        <f t="shared" si="51"/>
        <v>0</v>
      </c>
      <c r="AH109" s="207">
        <f t="shared" si="51"/>
        <v>0</v>
      </c>
      <c r="AI109" s="207">
        <f t="shared" si="51"/>
        <v>0</v>
      </c>
      <c r="AJ109" s="207">
        <f t="shared" si="51"/>
        <v>0</v>
      </c>
      <c r="AK109" s="207">
        <f t="shared" si="51"/>
        <v>0</v>
      </c>
      <c r="AL109" s="207">
        <f t="shared" si="51"/>
        <v>0</v>
      </c>
      <c r="AM109" s="207">
        <f t="shared" si="51"/>
        <v>0</v>
      </c>
      <c r="AN109" s="207">
        <f t="shared" si="51"/>
        <v>0</v>
      </c>
      <c r="AO109" s="207">
        <f t="shared" si="51"/>
        <v>0</v>
      </c>
      <c r="AP109" s="207">
        <f t="shared" si="51"/>
        <v>0</v>
      </c>
      <c r="AQ109" s="207">
        <f t="shared" si="51"/>
        <v>0</v>
      </c>
    </row>
    <row r="110" spans="2:43" s="126" customFormat="1" ht="12">
      <c r="B110" s="126" t="s">
        <v>20</v>
      </c>
      <c r="C110" s="216">
        <f>SUM(C106:C108)</f>
        <v>0</v>
      </c>
      <c r="D110" s="216">
        <f>SUM(D106:D109)</f>
        <v>14523.814655172411</v>
      </c>
      <c r="E110" s="216">
        <f aca="true" t="shared" si="52" ref="E110:AQ110">SUM(E106:E109)</f>
        <v>29047.629310344822</v>
      </c>
      <c r="F110" s="216">
        <f t="shared" si="52"/>
        <v>43571.44396551723</v>
      </c>
      <c r="G110" s="216">
        <f t="shared" si="52"/>
        <v>58095.258620689645</v>
      </c>
      <c r="H110" s="216">
        <f t="shared" si="52"/>
        <v>72619.07327586206</v>
      </c>
      <c r="I110" s="216">
        <f t="shared" si="52"/>
        <v>87142.88793103446</v>
      </c>
      <c r="J110" s="216">
        <f t="shared" si="52"/>
        <v>101666.70258620687</v>
      </c>
      <c r="K110" s="216">
        <f t="shared" si="52"/>
        <v>116190.51724137928</v>
      </c>
      <c r="L110" s="216">
        <f t="shared" si="52"/>
        <v>130714.33189655168</v>
      </c>
      <c r="M110" s="216">
        <f t="shared" si="52"/>
        <v>-2.9103830456733704E-11</v>
      </c>
      <c r="N110" s="216">
        <f t="shared" si="52"/>
        <v>14523.814655172382</v>
      </c>
      <c r="O110" s="216">
        <f t="shared" si="52"/>
        <v>29047.629310344793</v>
      </c>
      <c r="P110" s="216">
        <f t="shared" si="52"/>
        <v>43571.4439655172</v>
      </c>
      <c r="Q110" s="216">
        <f t="shared" si="52"/>
        <v>58095.258620689616</v>
      </c>
      <c r="R110" s="216">
        <f t="shared" si="52"/>
        <v>72619.07327586203</v>
      </c>
      <c r="S110" s="216">
        <f t="shared" si="52"/>
        <v>87142.88793103443</v>
      </c>
      <c r="T110" s="216">
        <f t="shared" si="52"/>
        <v>101666.70258620684</v>
      </c>
      <c r="U110" s="216">
        <f t="shared" si="52"/>
        <v>116190.51724137925</v>
      </c>
      <c r="V110" s="216">
        <f t="shared" si="52"/>
        <v>130714.33189655165</v>
      </c>
      <c r="W110" s="216">
        <f t="shared" si="52"/>
        <v>0</v>
      </c>
      <c r="X110" s="216">
        <f t="shared" si="52"/>
        <v>0</v>
      </c>
      <c r="Y110" s="216">
        <f t="shared" si="52"/>
        <v>0</v>
      </c>
      <c r="Z110" s="216">
        <f t="shared" si="52"/>
        <v>0</v>
      </c>
      <c r="AA110" s="216">
        <f t="shared" si="52"/>
        <v>0</v>
      </c>
      <c r="AB110" s="216">
        <f t="shared" si="52"/>
        <v>0</v>
      </c>
      <c r="AC110" s="216">
        <f t="shared" si="52"/>
        <v>0</v>
      </c>
      <c r="AD110" s="216">
        <f t="shared" si="52"/>
        <v>0</v>
      </c>
      <c r="AE110" s="216">
        <f t="shared" si="52"/>
        <v>0</v>
      </c>
      <c r="AF110" s="216">
        <f t="shared" si="52"/>
        <v>0</v>
      </c>
      <c r="AG110" s="216">
        <f t="shared" si="52"/>
        <v>0</v>
      </c>
      <c r="AH110" s="216">
        <f t="shared" si="52"/>
        <v>0</v>
      </c>
      <c r="AI110" s="216">
        <f t="shared" si="52"/>
        <v>0</v>
      </c>
      <c r="AJ110" s="216">
        <f t="shared" si="52"/>
        <v>0</v>
      </c>
      <c r="AK110" s="216">
        <f t="shared" si="52"/>
        <v>0</v>
      </c>
      <c r="AL110" s="216">
        <f t="shared" si="52"/>
        <v>0</v>
      </c>
      <c r="AM110" s="216">
        <f t="shared" si="52"/>
        <v>0</v>
      </c>
      <c r="AN110" s="216">
        <f t="shared" si="52"/>
        <v>0</v>
      </c>
      <c r="AO110" s="216">
        <f t="shared" si="52"/>
        <v>0</v>
      </c>
      <c r="AP110" s="216">
        <f t="shared" si="52"/>
        <v>0</v>
      </c>
      <c r="AQ110" s="216">
        <f t="shared" si="52"/>
        <v>0</v>
      </c>
    </row>
    <row r="111" spans="2:43" s="126" customFormat="1" ht="12">
      <c r="B111" s="126" t="s">
        <v>64</v>
      </c>
      <c r="C111" s="32">
        <f>+H22</f>
        <v>0.038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2:47" s="126" customFormat="1" ht="12">
      <c r="B112" s="126" t="s">
        <v>125</v>
      </c>
      <c r="C112" s="216">
        <f>+C106*$C$143</f>
        <v>0</v>
      </c>
      <c r="D112" s="216">
        <f>-D107-D109+$C$111*D106</f>
        <v>-14523.814655172411</v>
      </c>
      <c r="E112" s="216">
        <f>-E107-E109+$C$111*E106</f>
        <v>-13971.90969827586</v>
      </c>
      <c r="F112" s="216">
        <f aca="true" t="shared" si="53" ref="F112:AQ112">-F107-F109+$C$111*F106</f>
        <v>-13420.004741379307</v>
      </c>
      <c r="G112" s="216">
        <f t="shared" si="53"/>
        <v>-12868.099784482756</v>
      </c>
      <c r="H112" s="216">
        <f t="shared" si="53"/>
        <v>-12316.194827586205</v>
      </c>
      <c r="I112" s="216">
        <f t="shared" si="53"/>
        <v>-11764.289870689652</v>
      </c>
      <c r="J112" s="216">
        <f t="shared" si="53"/>
        <v>-11212.384913793101</v>
      </c>
      <c r="K112" s="216">
        <f t="shared" si="53"/>
        <v>-10660.47995689655</v>
      </c>
      <c r="L112" s="216">
        <f t="shared" si="53"/>
        <v>-10108.574999999999</v>
      </c>
      <c r="M112" s="216">
        <f t="shared" si="53"/>
        <v>-9556.670043103448</v>
      </c>
      <c r="N112" s="216">
        <f t="shared" si="53"/>
        <v>-14523.814655172413</v>
      </c>
      <c r="O112" s="216">
        <f t="shared" si="53"/>
        <v>-13971.90969827586</v>
      </c>
      <c r="P112" s="216">
        <f t="shared" si="53"/>
        <v>-13420.004741379309</v>
      </c>
      <c r="Q112" s="216">
        <f t="shared" si="53"/>
        <v>-12868.099784482758</v>
      </c>
      <c r="R112" s="216">
        <f t="shared" si="53"/>
        <v>-12316.194827586205</v>
      </c>
      <c r="S112" s="216">
        <f t="shared" si="53"/>
        <v>-11764.289870689654</v>
      </c>
      <c r="T112" s="216">
        <f t="shared" si="53"/>
        <v>-11212.384913793103</v>
      </c>
      <c r="U112" s="216">
        <f t="shared" si="53"/>
        <v>-10660.479956896552</v>
      </c>
      <c r="V112" s="216">
        <f t="shared" si="53"/>
        <v>-10108.575</v>
      </c>
      <c r="W112" s="216">
        <f t="shared" si="53"/>
        <v>-9556.670043103506</v>
      </c>
      <c r="X112" s="216">
        <f t="shared" si="53"/>
        <v>0</v>
      </c>
      <c r="Y112" s="216">
        <f t="shared" si="53"/>
        <v>0</v>
      </c>
      <c r="Z112" s="216">
        <f t="shared" si="53"/>
        <v>0</v>
      </c>
      <c r="AA112" s="216">
        <f t="shared" si="53"/>
        <v>0</v>
      </c>
      <c r="AB112" s="216">
        <f t="shared" si="53"/>
        <v>0</v>
      </c>
      <c r="AC112" s="216">
        <f t="shared" si="53"/>
        <v>0</v>
      </c>
      <c r="AD112" s="216">
        <f t="shared" si="53"/>
        <v>0</v>
      </c>
      <c r="AE112" s="216">
        <f t="shared" si="53"/>
        <v>0</v>
      </c>
      <c r="AF112" s="216">
        <f t="shared" si="53"/>
        <v>0</v>
      </c>
      <c r="AG112" s="216">
        <f t="shared" si="53"/>
        <v>0</v>
      </c>
      <c r="AH112" s="216">
        <f t="shared" si="53"/>
        <v>0</v>
      </c>
      <c r="AI112" s="216">
        <f t="shared" si="53"/>
        <v>0</v>
      </c>
      <c r="AJ112" s="216">
        <f t="shared" si="53"/>
        <v>0</v>
      </c>
      <c r="AK112" s="216">
        <f t="shared" si="53"/>
        <v>0</v>
      </c>
      <c r="AL112" s="216">
        <f t="shared" si="53"/>
        <v>0</v>
      </c>
      <c r="AM112" s="216">
        <f t="shared" si="53"/>
        <v>0</v>
      </c>
      <c r="AN112" s="216">
        <f t="shared" si="53"/>
        <v>0</v>
      </c>
      <c r="AO112" s="216">
        <f t="shared" si="53"/>
        <v>0</v>
      </c>
      <c r="AP112" s="216">
        <f t="shared" si="53"/>
        <v>0</v>
      </c>
      <c r="AQ112" s="216">
        <f t="shared" si="53"/>
        <v>0</v>
      </c>
      <c r="AS112" s="201"/>
      <c r="AT112" s="201"/>
      <c r="AU112" s="201"/>
    </row>
    <row r="113" spans="3:47" s="126" customFormat="1" ht="12"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S113" s="201"/>
      <c r="AT113" s="201"/>
      <c r="AU113" s="201"/>
    </row>
    <row r="114" spans="2:43" s="126" customFormat="1" ht="12">
      <c r="B114" s="196" t="s">
        <v>45</v>
      </c>
      <c r="C114" s="218">
        <f aca="true" t="shared" si="54" ref="C114:AQ114">C95</f>
        <v>0</v>
      </c>
      <c r="D114" s="218">
        <f t="shared" si="54"/>
        <v>1</v>
      </c>
      <c r="E114" s="218">
        <f t="shared" si="54"/>
        <v>2</v>
      </c>
      <c r="F114" s="218">
        <f t="shared" si="54"/>
        <v>3</v>
      </c>
      <c r="G114" s="218">
        <f t="shared" si="54"/>
        <v>4</v>
      </c>
      <c r="H114" s="218">
        <f t="shared" si="54"/>
        <v>5</v>
      </c>
      <c r="I114" s="218">
        <f t="shared" si="54"/>
        <v>6</v>
      </c>
      <c r="J114" s="218">
        <f t="shared" si="54"/>
        <v>7</v>
      </c>
      <c r="K114" s="218">
        <f t="shared" si="54"/>
        <v>8</v>
      </c>
      <c r="L114" s="218">
        <f t="shared" si="54"/>
        <v>9</v>
      </c>
      <c r="M114" s="218">
        <f t="shared" si="54"/>
        <v>10</v>
      </c>
      <c r="N114" s="218">
        <f t="shared" si="54"/>
        <v>11</v>
      </c>
      <c r="O114" s="218">
        <f t="shared" si="54"/>
        <v>12</v>
      </c>
      <c r="P114" s="218">
        <f t="shared" si="54"/>
        <v>13</v>
      </c>
      <c r="Q114" s="218">
        <f t="shared" si="54"/>
        <v>14</v>
      </c>
      <c r="R114" s="218">
        <f t="shared" si="54"/>
        <v>15</v>
      </c>
      <c r="S114" s="218">
        <f t="shared" si="54"/>
        <v>16</v>
      </c>
      <c r="T114" s="218">
        <f t="shared" si="54"/>
        <v>17</v>
      </c>
      <c r="U114" s="218">
        <f t="shared" si="54"/>
        <v>18</v>
      </c>
      <c r="V114" s="218">
        <f t="shared" si="54"/>
        <v>19</v>
      </c>
      <c r="W114" s="218">
        <f t="shared" si="54"/>
        <v>20</v>
      </c>
      <c r="X114" s="218">
        <f t="shared" si="54"/>
        <v>21</v>
      </c>
      <c r="Y114" s="218">
        <f t="shared" si="54"/>
        <v>22</v>
      </c>
      <c r="Z114" s="218">
        <f t="shared" si="54"/>
        <v>23</v>
      </c>
      <c r="AA114" s="218">
        <f t="shared" si="54"/>
        <v>24</v>
      </c>
      <c r="AB114" s="218">
        <f t="shared" si="54"/>
        <v>25</v>
      </c>
      <c r="AC114" s="218">
        <f t="shared" si="54"/>
        <v>26</v>
      </c>
      <c r="AD114" s="218">
        <f t="shared" si="54"/>
        <v>27</v>
      </c>
      <c r="AE114" s="218">
        <f t="shared" si="54"/>
        <v>28</v>
      </c>
      <c r="AF114" s="218">
        <f t="shared" si="54"/>
        <v>29</v>
      </c>
      <c r="AG114" s="218">
        <f t="shared" si="54"/>
        <v>30</v>
      </c>
      <c r="AH114" s="218">
        <f t="shared" si="54"/>
        <v>31</v>
      </c>
      <c r="AI114" s="218">
        <f t="shared" si="54"/>
        <v>32</v>
      </c>
      <c r="AJ114" s="218">
        <f t="shared" si="54"/>
        <v>33</v>
      </c>
      <c r="AK114" s="218">
        <f t="shared" si="54"/>
        <v>34</v>
      </c>
      <c r="AL114" s="218">
        <f t="shared" si="54"/>
        <v>35</v>
      </c>
      <c r="AM114" s="218">
        <f t="shared" si="54"/>
        <v>36</v>
      </c>
      <c r="AN114" s="218">
        <f t="shared" si="54"/>
        <v>37</v>
      </c>
      <c r="AO114" s="218">
        <f t="shared" si="54"/>
        <v>38</v>
      </c>
      <c r="AP114" s="218">
        <f t="shared" si="54"/>
        <v>39</v>
      </c>
      <c r="AQ114" s="218">
        <f t="shared" si="54"/>
        <v>40</v>
      </c>
    </row>
    <row r="115" spans="2:43" s="126" customFormat="1" ht="12">
      <c r="B115" s="126" t="s">
        <v>60</v>
      </c>
      <c r="C115" s="3"/>
      <c r="D115" s="127">
        <f aca="true" t="shared" si="55" ref="D115:AQ115">D44*D96</f>
        <v>81374.32412306483</v>
      </c>
      <c r="E115" s="127">
        <f t="shared" si="55"/>
        <v>80963.24443736556</v>
      </c>
      <c r="F115" s="127">
        <f t="shared" si="55"/>
        <v>80544.39545287771</v>
      </c>
      <c r="G115" s="127">
        <f t="shared" si="55"/>
        <v>80117.51592949011</v>
      </c>
      <c r="H115" s="127">
        <f t="shared" si="55"/>
        <v>79682.34006878371</v>
      </c>
      <c r="I115" s="127">
        <f t="shared" si="55"/>
        <v>7463.343262820323</v>
      </c>
      <c r="J115" s="127">
        <f t="shared" si="55"/>
        <v>7513.185395936838</v>
      </c>
      <c r="K115" s="127">
        <f t="shared" si="55"/>
        <v>7550.388489202429</v>
      </c>
      <c r="L115" s="127">
        <f t="shared" si="55"/>
        <v>7574.692150314833</v>
      </c>
      <c r="M115" s="127">
        <f t="shared" si="55"/>
        <v>7585.830756823947</v>
      </c>
      <c r="N115" s="127">
        <f t="shared" si="55"/>
        <v>2064.483782498166</v>
      </c>
      <c r="O115" s="127">
        <f t="shared" si="55"/>
        <v>2048.473966424477</v>
      </c>
      <c r="P115" s="127">
        <f t="shared" si="55"/>
        <v>2018.4697903181295</v>
      </c>
      <c r="Q115" s="127">
        <f t="shared" si="55"/>
        <v>1974.1836433092685</v>
      </c>
      <c r="R115" s="127">
        <f t="shared" si="55"/>
        <v>1915.3221396803128</v>
      </c>
      <c r="S115" s="127">
        <f t="shared" si="55"/>
        <v>1841.5860033026256</v>
      </c>
      <c r="T115" s="127">
        <f t="shared" si="55"/>
        <v>1752.6699497618756</v>
      </c>
      <c r="U115" s="127">
        <f t="shared" si="55"/>
        <v>1648.2625661255952</v>
      </c>
      <c r="V115" s="127">
        <f t="shared" si="55"/>
        <v>1528.0461883058815</v>
      </c>
      <c r="W115" s="127">
        <f t="shared" si="55"/>
        <v>1391.6967759692197</v>
      </c>
      <c r="X115" s="127">
        <f t="shared" si="55"/>
        <v>0</v>
      </c>
      <c r="Y115" s="127">
        <f t="shared" si="55"/>
        <v>0</v>
      </c>
      <c r="Z115" s="127">
        <f t="shared" si="55"/>
        <v>0</v>
      </c>
      <c r="AA115" s="127">
        <f t="shared" si="55"/>
        <v>0</v>
      </c>
      <c r="AB115" s="127">
        <f t="shared" si="55"/>
        <v>0</v>
      </c>
      <c r="AC115" s="127">
        <f t="shared" si="55"/>
        <v>0</v>
      </c>
      <c r="AD115" s="127">
        <f t="shared" si="55"/>
        <v>0</v>
      </c>
      <c r="AE115" s="127">
        <f t="shared" si="55"/>
        <v>0</v>
      </c>
      <c r="AF115" s="127">
        <f t="shared" si="55"/>
        <v>0</v>
      </c>
      <c r="AG115" s="127">
        <f t="shared" si="55"/>
        <v>0</v>
      </c>
      <c r="AH115" s="127">
        <f t="shared" si="55"/>
        <v>0</v>
      </c>
      <c r="AI115" s="127">
        <f t="shared" si="55"/>
        <v>0</v>
      </c>
      <c r="AJ115" s="127">
        <f t="shared" si="55"/>
        <v>0</v>
      </c>
      <c r="AK115" s="127">
        <f t="shared" si="55"/>
        <v>0</v>
      </c>
      <c r="AL115" s="127">
        <f t="shared" si="55"/>
        <v>0</v>
      </c>
      <c r="AM115" s="127">
        <f t="shared" si="55"/>
        <v>0</v>
      </c>
      <c r="AN115" s="127">
        <f t="shared" si="55"/>
        <v>0</v>
      </c>
      <c r="AO115" s="127">
        <f t="shared" si="55"/>
        <v>0</v>
      </c>
      <c r="AP115" s="127">
        <f t="shared" si="55"/>
        <v>0</v>
      </c>
      <c r="AQ115" s="127">
        <f t="shared" si="55"/>
        <v>0</v>
      </c>
    </row>
    <row r="116" spans="2:43" s="126" customFormat="1" ht="12">
      <c r="B116" s="126" t="s">
        <v>61</v>
      </c>
      <c r="C116" s="3"/>
      <c r="D116" s="219">
        <f aca="true" t="shared" si="56" ref="D116:AQ116">IF(D98=0,0,D115/D98)</f>
        <v>1.1900723679433176</v>
      </c>
      <c r="E116" s="219">
        <f t="shared" si="56"/>
        <v>1.1840604645543116</v>
      </c>
      <c r="F116" s="219">
        <f t="shared" si="56"/>
        <v>1.177934937760058</v>
      </c>
      <c r="G116" s="219">
        <f t="shared" si="56"/>
        <v>1.1716919670110033</v>
      </c>
      <c r="H116" s="219">
        <f t="shared" si="56"/>
        <v>1.1653276650938602</v>
      </c>
      <c r="I116" s="219">
        <f t="shared" si="56"/>
        <v>0.1091489076594479</v>
      </c>
      <c r="J116" s="219">
        <f t="shared" si="56"/>
        <v>0.10987783224371374</v>
      </c>
      <c r="K116" s="219">
        <f t="shared" si="56"/>
        <v>0.11042191508279747</v>
      </c>
      <c r="L116" s="219">
        <f t="shared" si="56"/>
        <v>0.11077734802606824</v>
      </c>
      <c r="M116" s="219">
        <f t="shared" si="56"/>
        <v>0.1109402464337262</v>
      </c>
      <c r="N116" s="219">
        <f t="shared" si="56"/>
        <v>0.030192387219125143</v>
      </c>
      <c r="O116" s="219">
        <f t="shared" si="56"/>
        <v>0.029958248995177038</v>
      </c>
      <c r="P116" s="219">
        <f t="shared" si="56"/>
        <v>0.029519447920122104</v>
      </c>
      <c r="Q116" s="219">
        <f t="shared" si="56"/>
        <v>0.028871777780850462</v>
      </c>
      <c r="R116" s="219">
        <f t="shared" si="56"/>
        <v>0.028010947909029006</v>
      </c>
      <c r="S116" s="219">
        <f t="shared" si="56"/>
        <v>0.02693258149102624</v>
      </c>
      <c r="T116" s="219">
        <f t="shared" si="56"/>
        <v>0.025632213844034964</v>
      </c>
      <c r="U116" s="219">
        <f t="shared" si="56"/>
        <v>0.0241052906577129</v>
      </c>
      <c r="V116" s="219">
        <f t="shared" si="56"/>
        <v>0.022347166200653055</v>
      </c>
      <c r="W116" s="219">
        <f t="shared" si="56"/>
        <v>0.02035310149098159</v>
      </c>
      <c r="X116" s="219">
        <f t="shared" si="56"/>
        <v>0</v>
      </c>
      <c r="Y116" s="219">
        <f t="shared" si="56"/>
        <v>0</v>
      </c>
      <c r="Z116" s="219">
        <f t="shared" si="56"/>
        <v>0</v>
      </c>
      <c r="AA116" s="219">
        <f t="shared" si="56"/>
        <v>0</v>
      </c>
      <c r="AB116" s="219">
        <f t="shared" si="56"/>
        <v>0</v>
      </c>
      <c r="AC116" s="219">
        <f t="shared" si="56"/>
        <v>0</v>
      </c>
      <c r="AD116" s="219">
        <f t="shared" si="56"/>
        <v>0</v>
      </c>
      <c r="AE116" s="219">
        <f t="shared" si="56"/>
        <v>0</v>
      </c>
      <c r="AF116" s="219">
        <f t="shared" si="56"/>
        <v>0</v>
      </c>
      <c r="AG116" s="219">
        <f t="shared" si="56"/>
        <v>0</v>
      </c>
      <c r="AH116" s="219">
        <f t="shared" si="56"/>
        <v>0</v>
      </c>
      <c r="AI116" s="219">
        <f t="shared" si="56"/>
        <v>0</v>
      </c>
      <c r="AJ116" s="219">
        <f t="shared" si="56"/>
        <v>0</v>
      </c>
      <c r="AK116" s="219">
        <f t="shared" si="56"/>
        <v>0</v>
      </c>
      <c r="AL116" s="219">
        <f t="shared" si="56"/>
        <v>0</v>
      </c>
      <c r="AM116" s="219">
        <f t="shared" si="56"/>
        <v>0</v>
      </c>
      <c r="AN116" s="219">
        <f t="shared" si="56"/>
        <v>0</v>
      </c>
      <c r="AO116" s="219">
        <f t="shared" si="56"/>
        <v>0</v>
      </c>
      <c r="AP116" s="219">
        <f t="shared" si="56"/>
        <v>0</v>
      </c>
      <c r="AQ116" s="219">
        <f t="shared" si="56"/>
        <v>0</v>
      </c>
    </row>
    <row r="117" spans="2:43" s="126" customFormat="1" ht="12">
      <c r="B117" s="126" t="s">
        <v>53</v>
      </c>
      <c r="C117" s="220">
        <f>SUM(D116:AQ116)/H19</f>
        <v>0.3353088407658508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2:43" s="126" customFormat="1" ht="12">
      <c r="B118" s="126" t="s">
        <v>54</v>
      </c>
      <c r="C118" s="220">
        <f>SUM(D115:AQ115)/SUM(D98:AQ98)</f>
        <v>0.3353088407658508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2:43" s="126" customFormat="1" ht="12">
      <c r="B119" s="126" t="s">
        <v>51</v>
      </c>
      <c r="C119" s="220">
        <v>1.4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3:43" s="126" customFormat="1" ht="12">
      <c r="C120" s="21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2:43" s="126" customFormat="1" ht="12">
      <c r="B121" s="211" t="s">
        <v>74</v>
      </c>
      <c r="C121" s="212">
        <f aca="true" t="shared" si="57" ref="C121:AQ121">C95</f>
        <v>0</v>
      </c>
      <c r="D121" s="212">
        <f t="shared" si="57"/>
        <v>1</v>
      </c>
      <c r="E121" s="212">
        <f t="shared" si="57"/>
        <v>2</v>
      </c>
      <c r="F121" s="212">
        <f t="shared" si="57"/>
        <v>3</v>
      </c>
      <c r="G121" s="212">
        <f t="shared" si="57"/>
        <v>4</v>
      </c>
      <c r="H121" s="212">
        <f t="shared" si="57"/>
        <v>5</v>
      </c>
      <c r="I121" s="212">
        <f t="shared" si="57"/>
        <v>6</v>
      </c>
      <c r="J121" s="212">
        <f t="shared" si="57"/>
        <v>7</v>
      </c>
      <c r="K121" s="212">
        <f t="shared" si="57"/>
        <v>8</v>
      </c>
      <c r="L121" s="212">
        <f t="shared" si="57"/>
        <v>9</v>
      </c>
      <c r="M121" s="212">
        <f t="shared" si="57"/>
        <v>10</v>
      </c>
      <c r="N121" s="212">
        <f t="shared" si="57"/>
        <v>11</v>
      </c>
      <c r="O121" s="212">
        <f t="shared" si="57"/>
        <v>12</v>
      </c>
      <c r="P121" s="212">
        <f t="shared" si="57"/>
        <v>13</v>
      </c>
      <c r="Q121" s="212">
        <f t="shared" si="57"/>
        <v>14</v>
      </c>
      <c r="R121" s="212">
        <f t="shared" si="57"/>
        <v>15</v>
      </c>
      <c r="S121" s="212">
        <f t="shared" si="57"/>
        <v>16</v>
      </c>
      <c r="T121" s="212">
        <f t="shared" si="57"/>
        <v>17</v>
      </c>
      <c r="U121" s="212">
        <f t="shared" si="57"/>
        <v>18</v>
      </c>
      <c r="V121" s="212">
        <f t="shared" si="57"/>
        <v>19</v>
      </c>
      <c r="W121" s="212">
        <f t="shared" si="57"/>
        <v>20</v>
      </c>
      <c r="X121" s="212">
        <f t="shared" si="57"/>
        <v>21</v>
      </c>
      <c r="Y121" s="212">
        <f t="shared" si="57"/>
        <v>22</v>
      </c>
      <c r="Z121" s="212">
        <f t="shared" si="57"/>
        <v>23</v>
      </c>
      <c r="AA121" s="212">
        <f t="shared" si="57"/>
        <v>24</v>
      </c>
      <c r="AB121" s="212">
        <f t="shared" si="57"/>
        <v>25</v>
      </c>
      <c r="AC121" s="212">
        <f t="shared" si="57"/>
        <v>26</v>
      </c>
      <c r="AD121" s="212">
        <f t="shared" si="57"/>
        <v>27</v>
      </c>
      <c r="AE121" s="212">
        <f t="shared" si="57"/>
        <v>28</v>
      </c>
      <c r="AF121" s="212">
        <f t="shared" si="57"/>
        <v>29</v>
      </c>
      <c r="AG121" s="212">
        <f t="shared" si="57"/>
        <v>30</v>
      </c>
      <c r="AH121" s="212">
        <f t="shared" si="57"/>
        <v>31</v>
      </c>
      <c r="AI121" s="212">
        <f t="shared" si="57"/>
        <v>32</v>
      </c>
      <c r="AJ121" s="212">
        <f t="shared" si="57"/>
        <v>33</v>
      </c>
      <c r="AK121" s="212">
        <f t="shared" si="57"/>
        <v>34</v>
      </c>
      <c r="AL121" s="212">
        <f t="shared" si="57"/>
        <v>35</v>
      </c>
      <c r="AM121" s="212">
        <f t="shared" si="57"/>
        <v>36</v>
      </c>
      <c r="AN121" s="212">
        <f t="shared" si="57"/>
        <v>37</v>
      </c>
      <c r="AO121" s="212">
        <f t="shared" si="57"/>
        <v>38</v>
      </c>
      <c r="AP121" s="212">
        <f t="shared" si="57"/>
        <v>39</v>
      </c>
      <c r="AQ121" s="212">
        <f t="shared" si="57"/>
        <v>40</v>
      </c>
    </row>
    <row r="122" spans="2:43" s="126" customFormat="1" ht="12">
      <c r="B122" s="126" t="s">
        <v>17</v>
      </c>
      <c r="C122" s="216"/>
      <c r="D122" s="216">
        <f aca="true" t="shared" si="58" ref="D122:AQ122">+C125</f>
        <v>0</v>
      </c>
      <c r="E122" s="216">
        <f>+D125</f>
        <v>0</v>
      </c>
      <c r="F122" s="216">
        <f t="shared" si="58"/>
        <v>0</v>
      </c>
      <c r="G122" s="216">
        <f t="shared" si="58"/>
        <v>0</v>
      </c>
      <c r="H122" s="216">
        <f t="shared" si="58"/>
        <v>0</v>
      </c>
      <c r="I122" s="216">
        <f>+H125</f>
        <v>0</v>
      </c>
      <c r="J122" s="216">
        <f t="shared" si="58"/>
        <v>0</v>
      </c>
      <c r="K122" s="216">
        <f t="shared" si="58"/>
        <v>0</v>
      </c>
      <c r="L122" s="216">
        <f t="shared" si="58"/>
        <v>0</v>
      </c>
      <c r="M122" s="216">
        <f t="shared" si="58"/>
        <v>0</v>
      </c>
      <c r="N122" s="216">
        <f t="shared" si="58"/>
        <v>0</v>
      </c>
      <c r="O122" s="216">
        <f t="shared" si="58"/>
        <v>0</v>
      </c>
      <c r="P122" s="216">
        <f t="shared" si="58"/>
        <v>0</v>
      </c>
      <c r="Q122" s="216">
        <f t="shared" si="58"/>
        <v>0</v>
      </c>
      <c r="R122" s="216">
        <f t="shared" si="58"/>
        <v>0</v>
      </c>
      <c r="S122" s="216">
        <f t="shared" si="58"/>
        <v>0</v>
      </c>
      <c r="T122" s="216">
        <f t="shared" si="58"/>
        <v>0</v>
      </c>
      <c r="U122" s="216">
        <f t="shared" si="58"/>
        <v>0</v>
      </c>
      <c r="V122" s="216">
        <f t="shared" si="58"/>
        <v>0</v>
      </c>
      <c r="W122" s="216">
        <f t="shared" si="58"/>
        <v>0</v>
      </c>
      <c r="X122" s="216">
        <f t="shared" si="58"/>
        <v>0</v>
      </c>
      <c r="Y122" s="216">
        <f t="shared" si="58"/>
        <v>0</v>
      </c>
      <c r="Z122" s="216">
        <f t="shared" si="58"/>
        <v>0</v>
      </c>
      <c r="AA122" s="216">
        <f t="shared" si="58"/>
        <v>0</v>
      </c>
      <c r="AB122" s="216">
        <f t="shared" si="58"/>
        <v>0</v>
      </c>
      <c r="AC122" s="216">
        <f t="shared" si="58"/>
        <v>0</v>
      </c>
      <c r="AD122" s="216">
        <f t="shared" si="58"/>
        <v>0</v>
      </c>
      <c r="AE122" s="216">
        <f t="shared" si="58"/>
        <v>0</v>
      </c>
      <c r="AF122" s="216">
        <f t="shared" si="58"/>
        <v>0</v>
      </c>
      <c r="AG122" s="216">
        <f t="shared" si="58"/>
        <v>0</v>
      </c>
      <c r="AH122" s="216">
        <f t="shared" si="58"/>
        <v>0</v>
      </c>
      <c r="AI122" s="216">
        <f t="shared" si="58"/>
        <v>0</v>
      </c>
      <c r="AJ122" s="216">
        <f t="shared" si="58"/>
        <v>0</v>
      </c>
      <c r="AK122" s="216">
        <f t="shared" si="58"/>
        <v>0</v>
      </c>
      <c r="AL122" s="216">
        <f t="shared" si="58"/>
        <v>0</v>
      </c>
      <c r="AM122" s="216">
        <f t="shared" si="58"/>
        <v>0</v>
      </c>
      <c r="AN122" s="216">
        <f t="shared" si="58"/>
        <v>0</v>
      </c>
      <c r="AO122" s="216">
        <f t="shared" si="58"/>
        <v>0</v>
      </c>
      <c r="AP122" s="216">
        <f t="shared" si="58"/>
        <v>0</v>
      </c>
      <c r="AQ122" s="216">
        <f t="shared" si="58"/>
        <v>0</v>
      </c>
    </row>
    <row r="123" spans="2:43" s="126" customFormat="1" ht="12">
      <c r="B123" s="126" t="s">
        <v>62</v>
      </c>
      <c r="C123" s="216">
        <f>C9</f>
        <v>0</v>
      </c>
      <c r="D123" s="216">
        <f aca="true" t="shared" si="59" ref="D123:AQ123">+-(MIN(0,D47))</f>
        <v>0</v>
      </c>
      <c r="E123" s="216">
        <f t="shared" si="59"/>
        <v>0</v>
      </c>
      <c r="F123" s="216">
        <f t="shared" si="59"/>
        <v>0</v>
      </c>
      <c r="G123" s="216">
        <f t="shared" si="59"/>
        <v>0</v>
      </c>
      <c r="H123" s="216">
        <f t="shared" si="59"/>
        <v>0</v>
      </c>
      <c r="I123" s="216">
        <f t="shared" si="59"/>
        <v>0</v>
      </c>
      <c r="J123" s="216">
        <f t="shared" si="59"/>
        <v>0</v>
      </c>
      <c r="K123" s="216">
        <f t="shared" si="59"/>
        <v>0</v>
      </c>
      <c r="L123" s="216">
        <f t="shared" si="59"/>
        <v>0</v>
      </c>
      <c r="M123" s="216">
        <f t="shared" si="59"/>
        <v>0</v>
      </c>
      <c r="N123" s="216">
        <f t="shared" si="59"/>
        <v>0</v>
      </c>
      <c r="O123" s="216">
        <f t="shared" si="59"/>
        <v>0</v>
      </c>
      <c r="P123" s="216">
        <f t="shared" si="59"/>
        <v>0</v>
      </c>
      <c r="Q123" s="216">
        <f t="shared" si="59"/>
        <v>0</v>
      </c>
      <c r="R123" s="216">
        <f t="shared" si="59"/>
        <v>0</v>
      </c>
      <c r="S123" s="216">
        <f t="shared" si="59"/>
        <v>0</v>
      </c>
      <c r="T123" s="216">
        <f t="shared" si="59"/>
        <v>0</v>
      </c>
      <c r="U123" s="216">
        <f t="shared" si="59"/>
        <v>0</v>
      </c>
      <c r="V123" s="216">
        <f t="shared" si="59"/>
        <v>0</v>
      </c>
      <c r="W123" s="216">
        <f t="shared" si="59"/>
        <v>0</v>
      </c>
      <c r="X123" s="216">
        <f t="shared" si="59"/>
        <v>0</v>
      </c>
      <c r="Y123" s="216">
        <f t="shared" si="59"/>
        <v>0</v>
      </c>
      <c r="Z123" s="216">
        <f t="shared" si="59"/>
        <v>0</v>
      </c>
      <c r="AA123" s="216">
        <f t="shared" si="59"/>
        <v>0</v>
      </c>
      <c r="AB123" s="216">
        <f t="shared" si="59"/>
        <v>0</v>
      </c>
      <c r="AC123" s="216">
        <f t="shared" si="59"/>
        <v>0</v>
      </c>
      <c r="AD123" s="216">
        <f t="shared" si="59"/>
        <v>0</v>
      </c>
      <c r="AE123" s="216">
        <f t="shared" si="59"/>
        <v>0</v>
      </c>
      <c r="AF123" s="216">
        <f t="shared" si="59"/>
        <v>0</v>
      </c>
      <c r="AG123" s="216">
        <f t="shared" si="59"/>
        <v>0</v>
      </c>
      <c r="AH123" s="216">
        <f t="shared" si="59"/>
        <v>0</v>
      </c>
      <c r="AI123" s="216">
        <f t="shared" si="59"/>
        <v>0</v>
      </c>
      <c r="AJ123" s="216">
        <f t="shared" si="59"/>
        <v>0</v>
      </c>
      <c r="AK123" s="216">
        <f t="shared" si="59"/>
        <v>0</v>
      </c>
      <c r="AL123" s="216">
        <f t="shared" si="59"/>
        <v>0</v>
      </c>
      <c r="AM123" s="216">
        <f t="shared" si="59"/>
        <v>0</v>
      </c>
      <c r="AN123" s="216">
        <f t="shared" si="59"/>
        <v>0</v>
      </c>
      <c r="AO123" s="216">
        <f t="shared" si="59"/>
        <v>0</v>
      </c>
      <c r="AP123" s="216">
        <f t="shared" si="59"/>
        <v>0</v>
      </c>
      <c r="AQ123" s="216">
        <f t="shared" si="59"/>
        <v>0</v>
      </c>
    </row>
    <row r="124" spans="2:43" s="126" customFormat="1" ht="12">
      <c r="B124" s="126" t="s">
        <v>63</v>
      </c>
      <c r="C124" s="216">
        <f aca="true" t="shared" si="60" ref="C124:AQ124">+-(MAX(0,C47))</f>
        <v>0</v>
      </c>
      <c r="D124" s="216">
        <f t="shared" si="60"/>
        <v>0</v>
      </c>
      <c r="E124" s="216">
        <f t="shared" si="60"/>
        <v>0</v>
      </c>
      <c r="F124" s="216">
        <f t="shared" si="60"/>
        <v>0</v>
      </c>
      <c r="G124" s="216">
        <f t="shared" si="60"/>
        <v>0</v>
      </c>
      <c r="H124" s="216">
        <f t="shared" si="60"/>
        <v>0</v>
      </c>
      <c r="I124" s="216">
        <f t="shared" si="60"/>
        <v>0</v>
      </c>
      <c r="J124" s="216">
        <f t="shared" si="60"/>
        <v>0</v>
      </c>
      <c r="K124" s="216">
        <f t="shared" si="60"/>
        <v>0</v>
      </c>
      <c r="L124" s="216">
        <f t="shared" si="60"/>
        <v>0</v>
      </c>
      <c r="M124" s="216">
        <f t="shared" si="60"/>
        <v>0</v>
      </c>
      <c r="N124" s="216">
        <f t="shared" si="60"/>
        <v>0</v>
      </c>
      <c r="O124" s="216">
        <f t="shared" si="60"/>
        <v>0</v>
      </c>
      <c r="P124" s="216">
        <f t="shared" si="60"/>
        <v>0</v>
      </c>
      <c r="Q124" s="216">
        <f t="shared" si="60"/>
        <v>0</v>
      </c>
      <c r="R124" s="216">
        <f t="shared" si="60"/>
        <v>0</v>
      </c>
      <c r="S124" s="216">
        <f t="shared" si="60"/>
        <v>0</v>
      </c>
      <c r="T124" s="216">
        <f t="shared" si="60"/>
        <v>0</v>
      </c>
      <c r="U124" s="216">
        <f t="shared" si="60"/>
        <v>0</v>
      </c>
      <c r="V124" s="216">
        <f t="shared" si="60"/>
        <v>0</v>
      </c>
      <c r="W124" s="216">
        <f t="shared" si="60"/>
        <v>0</v>
      </c>
      <c r="X124" s="216">
        <f t="shared" si="60"/>
        <v>0</v>
      </c>
      <c r="Y124" s="216">
        <f t="shared" si="60"/>
        <v>0</v>
      </c>
      <c r="Z124" s="216">
        <f t="shared" si="60"/>
        <v>0</v>
      </c>
      <c r="AA124" s="216">
        <f t="shared" si="60"/>
        <v>0</v>
      </c>
      <c r="AB124" s="216">
        <f t="shared" si="60"/>
        <v>0</v>
      </c>
      <c r="AC124" s="216">
        <f t="shared" si="60"/>
        <v>0</v>
      </c>
      <c r="AD124" s="216">
        <f t="shared" si="60"/>
        <v>0</v>
      </c>
      <c r="AE124" s="216">
        <f t="shared" si="60"/>
        <v>0</v>
      </c>
      <c r="AF124" s="216">
        <f t="shared" si="60"/>
        <v>0</v>
      </c>
      <c r="AG124" s="216">
        <f t="shared" si="60"/>
        <v>0</v>
      </c>
      <c r="AH124" s="216">
        <f t="shared" si="60"/>
        <v>0</v>
      </c>
      <c r="AI124" s="216">
        <f t="shared" si="60"/>
        <v>0</v>
      </c>
      <c r="AJ124" s="216">
        <f t="shared" si="60"/>
        <v>0</v>
      </c>
      <c r="AK124" s="216">
        <f t="shared" si="60"/>
        <v>0</v>
      </c>
      <c r="AL124" s="216">
        <f t="shared" si="60"/>
        <v>0</v>
      </c>
      <c r="AM124" s="216">
        <f t="shared" si="60"/>
        <v>0</v>
      </c>
      <c r="AN124" s="216">
        <f t="shared" si="60"/>
        <v>0</v>
      </c>
      <c r="AO124" s="216">
        <f t="shared" si="60"/>
        <v>0</v>
      </c>
      <c r="AP124" s="216">
        <f t="shared" si="60"/>
        <v>0</v>
      </c>
      <c r="AQ124" s="216">
        <f t="shared" si="60"/>
        <v>0</v>
      </c>
    </row>
    <row r="125" spans="2:43" s="126" customFormat="1" ht="12">
      <c r="B125" s="126" t="s">
        <v>20</v>
      </c>
      <c r="C125" s="216">
        <f aca="true" t="shared" si="61" ref="C125:AQ125">SUM(C122:C124)</f>
        <v>0</v>
      </c>
      <c r="D125" s="216">
        <f t="shared" si="61"/>
        <v>0</v>
      </c>
      <c r="E125" s="216">
        <f t="shared" si="61"/>
        <v>0</v>
      </c>
      <c r="F125" s="216">
        <f t="shared" si="61"/>
        <v>0</v>
      </c>
      <c r="G125" s="216">
        <f t="shared" si="61"/>
        <v>0</v>
      </c>
      <c r="H125" s="216">
        <f t="shared" si="61"/>
        <v>0</v>
      </c>
      <c r="I125" s="216">
        <f t="shared" si="61"/>
        <v>0</v>
      </c>
      <c r="J125" s="216">
        <f t="shared" si="61"/>
        <v>0</v>
      </c>
      <c r="K125" s="216">
        <f t="shared" si="61"/>
        <v>0</v>
      </c>
      <c r="L125" s="216">
        <f t="shared" si="61"/>
        <v>0</v>
      </c>
      <c r="M125" s="216">
        <f t="shared" si="61"/>
        <v>0</v>
      </c>
      <c r="N125" s="216">
        <f t="shared" si="61"/>
        <v>0</v>
      </c>
      <c r="O125" s="216">
        <f t="shared" si="61"/>
        <v>0</v>
      </c>
      <c r="P125" s="216">
        <f t="shared" si="61"/>
        <v>0</v>
      </c>
      <c r="Q125" s="216">
        <f t="shared" si="61"/>
        <v>0</v>
      </c>
      <c r="R125" s="216">
        <f t="shared" si="61"/>
        <v>0</v>
      </c>
      <c r="S125" s="216">
        <f t="shared" si="61"/>
        <v>0</v>
      </c>
      <c r="T125" s="216">
        <f t="shared" si="61"/>
        <v>0</v>
      </c>
      <c r="U125" s="216">
        <f t="shared" si="61"/>
        <v>0</v>
      </c>
      <c r="V125" s="216">
        <f t="shared" si="61"/>
        <v>0</v>
      </c>
      <c r="W125" s="216">
        <f t="shared" si="61"/>
        <v>0</v>
      </c>
      <c r="X125" s="216">
        <f t="shared" si="61"/>
        <v>0</v>
      </c>
      <c r="Y125" s="216">
        <f t="shared" si="61"/>
        <v>0</v>
      </c>
      <c r="Z125" s="216">
        <f t="shared" si="61"/>
        <v>0</v>
      </c>
      <c r="AA125" s="216">
        <f t="shared" si="61"/>
        <v>0</v>
      </c>
      <c r="AB125" s="216">
        <f t="shared" si="61"/>
        <v>0</v>
      </c>
      <c r="AC125" s="216">
        <f t="shared" si="61"/>
        <v>0</v>
      </c>
      <c r="AD125" s="216">
        <f t="shared" si="61"/>
        <v>0</v>
      </c>
      <c r="AE125" s="216">
        <f t="shared" si="61"/>
        <v>0</v>
      </c>
      <c r="AF125" s="216">
        <f t="shared" si="61"/>
        <v>0</v>
      </c>
      <c r="AG125" s="216">
        <f t="shared" si="61"/>
        <v>0</v>
      </c>
      <c r="AH125" s="216">
        <f t="shared" si="61"/>
        <v>0</v>
      </c>
      <c r="AI125" s="216">
        <f t="shared" si="61"/>
        <v>0</v>
      </c>
      <c r="AJ125" s="216">
        <f t="shared" si="61"/>
        <v>0</v>
      </c>
      <c r="AK125" s="216">
        <f t="shared" si="61"/>
        <v>0</v>
      </c>
      <c r="AL125" s="216">
        <f t="shared" si="61"/>
        <v>0</v>
      </c>
      <c r="AM125" s="216">
        <f t="shared" si="61"/>
        <v>0</v>
      </c>
      <c r="AN125" s="216">
        <f t="shared" si="61"/>
        <v>0</v>
      </c>
      <c r="AO125" s="216">
        <f t="shared" si="61"/>
        <v>0</v>
      </c>
      <c r="AP125" s="216">
        <f t="shared" si="61"/>
        <v>0</v>
      </c>
      <c r="AQ125" s="216">
        <f t="shared" si="61"/>
        <v>0</v>
      </c>
    </row>
    <row r="126" spans="2:43" s="126" customFormat="1" ht="12">
      <c r="B126" s="126" t="s">
        <v>64</v>
      </c>
      <c r="C126" s="32">
        <f>+H22</f>
        <v>0.038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2:47" s="126" customFormat="1" ht="12">
      <c r="B127" s="126" t="s">
        <v>65</v>
      </c>
      <c r="C127" s="216">
        <f aca="true" t="shared" si="62" ref="C127:AQ127">+C122*$C$126</f>
        <v>0</v>
      </c>
      <c r="D127" s="216">
        <f t="shared" si="62"/>
        <v>0</v>
      </c>
      <c r="E127" s="216">
        <f t="shared" si="62"/>
        <v>0</v>
      </c>
      <c r="F127" s="216">
        <f t="shared" si="62"/>
        <v>0</v>
      </c>
      <c r="G127" s="216">
        <f t="shared" si="62"/>
        <v>0</v>
      </c>
      <c r="H127" s="216">
        <f t="shared" si="62"/>
        <v>0</v>
      </c>
      <c r="I127" s="216">
        <f t="shared" si="62"/>
        <v>0</v>
      </c>
      <c r="J127" s="216">
        <f t="shared" si="62"/>
        <v>0</v>
      </c>
      <c r="K127" s="216">
        <f t="shared" si="62"/>
        <v>0</v>
      </c>
      <c r="L127" s="216">
        <f t="shared" si="62"/>
        <v>0</v>
      </c>
      <c r="M127" s="216">
        <f t="shared" si="62"/>
        <v>0</v>
      </c>
      <c r="N127" s="216">
        <f t="shared" si="62"/>
        <v>0</v>
      </c>
      <c r="O127" s="216">
        <f t="shared" si="62"/>
        <v>0</v>
      </c>
      <c r="P127" s="216">
        <f t="shared" si="62"/>
        <v>0</v>
      </c>
      <c r="Q127" s="216">
        <f t="shared" si="62"/>
        <v>0</v>
      </c>
      <c r="R127" s="216">
        <f t="shared" si="62"/>
        <v>0</v>
      </c>
      <c r="S127" s="216">
        <f t="shared" si="62"/>
        <v>0</v>
      </c>
      <c r="T127" s="216">
        <f t="shared" si="62"/>
        <v>0</v>
      </c>
      <c r="U127" s="216">
        <f t="shared" si="62"/>
        <v>0</v>
      </c>
      <c r="V127" s="216">
        <f t="shared" si="62"/>
        <v>0</v>
      </c>
      <c r="W127" s="216">
        <f t="shared" si="62"/>
        <v>0</v>
      </c>
      <c r="X127" s="216">
        <f t="shared" si="62"/>
        <v>0</v>
      </c>
      <c r="Y127" s="216">
        <f t="shared" si="62"/>
        <v>0</v>
      </c>
      <c r="Z127" s="216">
        <f t="shared" si="62"/>
        <v>0</v>
      </c>
      <c r="AA127" s="216">
        <f t="shared" si="62"/>
        <v>0</v>
      </c>
      <c r="AB127" s="216">
        <f t="shared" si="62"/>
        <v>0</v>
      </c>
      <c r="AC127" s="216">
        <f t="shared" si="62"/>
        <v>0</v>
      </c>
      <c r="AD127" s="216">
        <f t="shared" si="62"/>
        <v>0</v>
      </c>
      <c r="AE127" s="216">
        <f t="shared" si="62"/>
        <v>0</v>
      </c>
      <c r="AF127" s="216">
        <f t="shared" si="62"/>
        <v>0</v>
      </c>
      <c r="AG127" s="216">
        <f t="shared" si="62"/>
        <v>0</v>
      </c>
      <c r="AH127" s="216">
        <f t="shared" si="62"/>
        <v>0</v>
      </c>
      <c r="AI127" s="216">
        <f t="shared" si="62"/>
        <v>0</v>
      </c>
      <c r="AJ127" s="216">
        <f t="shared" si="62"/>
        <v>0</v>
      </c>
      <c r="AK127" s="216">
        <f t="shared" si="62"/>
        <v>0</v>
      </c>
      <c r="AL127" s="216">
        <f t="shared" si="62"/>
        <v>0</v>
      </c>
      <c r="AM127" s="216">
        <f t="shared" si="62"/>
        <v>0</v>
      </c>
      <c r="AN127" s="216">
        <f t="shared" si="62"/>
        <v>0</v>
      </c>
      <c r="AO127" s="216">
        <f t="shared" si="62"/>
        <v>0</v>
      </c>
      <c r="AP127" s="216">
        <f t="shared" si="62"/>
        <v>0</v>
      </c>
      <c r="AQ127" s="216">
        <f t="shared" si="62"/>
        <v>0</v>
      </c>
      <c r="AS127" s="221"/>
      <c r="AT127" s="221"/>
      <c r="AU127" s="221"/>
    </row>
    <row r="128" spans="2:43" s="126" customFormat="1" ht="12">
      <c r="B128" s="14"/>
      <c r="C128" s="3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</row>
    <row r="129" spans="2:43" s="126" customFormat="1" ht="12">
      <c r="B129" s="222" t="s">
        <v>55</v>
      </c>
      <c r="C129" s="223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</row>
    <row r="130" spans="2:43" s="126" customFormat="1" ht="12">
      <c r="B130" s="225" t="s">
        <v>50</v>
      </c>
      <c r="C130" s="226">
        <f>SUM(D98:AQ98)</f>
        <v>1367552.534031118</v>
      </c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224"/>
      <c r="AO130" s="224"/>
      <c r="AP130" s="224"/>
      <c r="AQ130" s="224"/>
    </row>
    <row r="131" spans="2:43" s="126" customFormat="1" ht="12">
      <c r="B131" s="227" t="s">
        <v>51</v>
      </c>
      <c r="C131" s="228">
        <f>C119</f>
        <v>1.4</v>
      </c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4"/>
      <c r="AK131" s="224"/>
      <c r="AL131" s="224"/>
      <c r="AM131" s="224"/>
      <c r="AN131" s="224"/>
      <c r="AO131" s="224"/>
      <c r="AP131" s="224"/>
      <c r="AQ131" s="224"/>
    </row>
    <row r="132" spans="2:43" s="126" customFormat="1" ht="12">
      <c r="B132" s="227" t="s">
        <v>52</v>
      </c>
      <c r="C132" s="229">
        <f>C131*C130</f>
        <v>1914573.547643565</v>
      </c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</row>
    <row r="133" spans="2:43" s="126" customFormat="1" ht="12">
      <c r="B133" s="227" t="s">
        <v>57</v>
      </c>
      <c r="C133" s="229">
        <f>SUMPRODUCT(D44:AQ44,D96:AQ96)</f>
        <v>458552.45487237594</v>
      </c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  <c r="AN133" s="224"/>
      <c r="AO133" s="224"/>
      <c r="AP133" s="224"/>
      <c r="AQ133" s="224"/>
    </row>
    <row r="134" spans="2:43" s="126" customFormat="1" ht="12">
      <c r="B134" s="230" t="s">
        <v>56</v>
      </c>
      <c r="C134" s="231">
        <f>C133-C132</f>
        <v>-1456021.0927711893</v>
      </c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  <c r="AO134" s="224"/>
      <c r="AP134" s="224"/>
      <c r="AQ134" s="224"/>
    </row>
    <row r="135" spans="2:43" s="126" customFormat="1" ht="12">
      <c r="B135" s="11"/>
      <c r="C135" s="232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</row>
    <row r="136" spans="2:43" s="126" customFormat="1" ht="12">
      <c r="B136" s="233" t="s">
        <v>89</v>
      </c>
      <c r="C136" s="234" t="s">
        <v>88</v>
      </c>
      <c r="D136" s="112">
        <v>1</v>
      </c>
      <c r="E136" s="112">
        <v>2</v>
      </c>
      <c r="F136" s="112">
        <v>3</v>
      </c>
      <c r="G136" s="112">
        <v>4</v>
      </c>
      <c r="H136" s="112">
        <v>5</v>
      </c>
      <c r="I136" s="112">
        <v>6</v>
      </c>
      <c r="J136" s="112">
        <v>7</v>
      </c>
      <c r="K136" s="112">
        <v>8</v>
      </c>
      <c r="L136" s="112">
        <v>9</v>
      </c>
      <c r="M136" s="112">
        <v>10</v>
      </c>
      <c r="N136" s="112">
        <v>11</v>
      </c>
      <c r="O136" s="112">
        <v>12</v>
      </c>
      <c r="P136" s="112">
        <v>13</v>
      </c>
      <c r="Q136" s="112">
        <v>14</v>
      </c>
      <c r="R136" s="112">
        <v>15</v>
      </c>
      <c r="S136" s="112">
        <v>16</v>
      </c>
      <c r="T136" s="112">
        <v>17</v>
      </c>
      <c r="U136" s="112">
        <v>18</v>
      </c>
      <c r="V136" s="112">
        <v>19</v>
      </c>
      <c r="W136" s="112">
        <v>20</v>
      </c>
      <c r="X136" s="112">
        <v>21</v>
      </c>
      <c r="Y136" s="112">
        <v>22</v>
      </c>
      <c r="Z136" s="112">
        <v>23</v>
      </c>
      <c r="AA136" s="112">
        <v>24</v>
      </c>
      <c r="AB136" s="112">
        <v>25</v>
      </c>
      <c r="AC136" s="112">
        <v>26</v>
      </c>
      <c r="AD136" s="112">
        <v>27</v>
      </c>
      <c r="AE136" s="112">
        <v>28</v>
      </c>
      <c r="AF136" s="112">
        <v>29</v>
      </c>
      <c r="AG136" s="112">
        <v>30</v>
      </c>
      <c r="AH136" s="112">
        <v>31</v>
      </c>
      <c r="AI136" s="112">
        <v>32</v>
      </c>
      <c r="AJ136" s="112">
        <v>33</v>
      </c>
      <c r="AK136" s="112">
        <v>34</v>
      </c>
      <c r="AL136" s="112">
        <v>35</v>
      </c>
      <c r="AM136" s="112">
        <v>36</v>
      </c>
      <c r="AN136" s="112">
        <v>37</v>
      </c>
      <c r="AO136" s="112">
        <v>38</v>
      </c>
      <c r="AP136" s="112">
        <v>39</v>
      </c>
      <c r="AQ136" s="112">
        <v>40</v>
      </c>
    </row>
    <row r="137" s="126" customFormat="1" ht="12">
      <c r="C137" s="126">
        <v>0</v>
      </c>
    </row>
    <row r="138" spans="2:43" s="126" customFormat="1" ht="12">
      <c r="B138" s="13"/>
      <c r="C138" s="126">
        <v>3</v>
      </c>
      <c r="D138" s="32">
        <v>0.3333</v>
      </c>
      <c r="E138" s="32">
        <v>0.4445</v>
      </c>
      <c r="F138" s="32">
        <v>0.1481</v>
      </c>
      <c r="G138" s="32">
        <v>0.0741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</row>
    <row r="139" spans="2:47" s="126" customFormat="1" ht="12">
      <c r="B139" s="13"/>
      <c r="C139" s="13">
        <v>5</v>
      </c>
      <c r="D139" s="32">
        <v>0.2</v>
      </c>
      <c r="E139" s="32">
        <v>0.32</v>
      </c>
      <c r="F139" s="32">
        <v>0.192</v>
      </c>
      <c r="G139" s="32">
        <v>0.1152</v>
      </c>
      <c r="H139" s="32">
        <v>0.1152</v>
      </c>
      <c r="I139" s="32">
        <v>0.0576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</row>
    <row r="140" spans="2:47" s="126" customFormat="1" ht="12">
      <c r="B140" s="13"/>
      <c r="C140" s="13">
        <v>7</v>
      </c>
      <c r="D140" s="32">
        <v>0.1429</v>
      </c>
      <c r="E140" s="32">
        <v>0.24489999999999998</v>
      </c>
      <c r="F140" s="32">
        <v>0.17489999999999997</v>
      </c>
      <c r="G140" s="32">
        <v>0.1249</v>
      </c>
      <c r="H140" s="32">
        <v>0.0893</v>
      </c>
      <c r="I140" s="32">
        <v>0.0892</v>
      </c>
      <c r="J140" s="32">
        <v>0.08929999999999999</v>
      </c>
      <c r="K140" s="32">
        <v>0.0446</v>
      </c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</row>
    <row r="141" spans="3:24" ht="12">
      <c r="C141" s="13">
        <v>10</v>
      </c>
      <c r="D141" s="32">
        <v>0.1</v>
      </c>
      <c r="E141" s="32">
        <v>0.18</v>
      </c>
      <c r="F141" s="32">
        <v>0.14400000000000002</v>
      </c>
      <c r="G141" s="32">
        <v>0.1152</v>
      </c>
      <c r="H141" s="32">
        <v>0.0922</v>
      </c>
      <c r="I141" s="32">
        <v>0.0737</v>
      </c>
      <c r="J141" s="32">
        <v>0.0655</v>
      </c>
      <c r="K141" s="32">
        <v>0.0655</v>
      </c>
      <c r="L141" s="32">
        <v>0.06559999999999999</v>
      </c>
      <c r="M141" s="32">
        <v>0.0655</v>
      </c>
      <c r="N141" s="32">
        <v>0.032799999999999996</v>
      </c>
      <c r="O141" s="32"/>
      <c r="P141" s="32"/>
      <c r="Q141" s="32"/>
      <c r="R141" s="32"/>
      <c r="S141" s="32"/>
      <c r="T141" s="32"/>
      <c r="U141" s="32"/>
      <c r="V141" s="32"/>
      <c r="W141" s="32"/>
      <c r="X141" s="32"/>
    </row>
    <row r="142" spans="3:24" ht="12">
      <c r="C142" s="13">
        <v>15</v>
      </c>
      <c r="D142" s="32">
        <v>0.05</v>
      </c>
      <c r="E142" s="32">
        <v>0.095</v>
      </c>
      <c r="F142" s="32">
        <v>0.0855</v>
      </c>
      <c r="G142" s="32">
        <v>0.077</v>
      </c>
      <c r="H142" s="32">
        <v>0.0693</v>
      </c>
      <c r="I142" s="32">
        <v>0.0623</v>
      </c>
      <c r="J142" s="32">
        <v>0.059</v>
      </c>
      <c r="K142" s="32">
        <v>0.059000000000000004</v>
      </c>
      <c r="L142" s="32">
        <v>0.0591</v>
      </c>
      <c r="M142" s="32">
        <v>0.059000000000000004</v>
      </c>
      <c r="N142" s="32">
        <v>0.0591</v>
      </c>
      <c r="O142" s="32">
        <v>0.059000000000000004</v>
      </c>
      <c r="P142" s="32">
        <v>0.0591</v>
      </c>
      <c r="Q142" s="32">
        <v>0.059000000000000004</v>
      </c>
      <c r="R142" s="32">
        <v>0.0591</v>
      </c>
      <c r="S142" s="32">
        <v>0.029500000000000002</v>
      </c>
      <c r="T142" s="32"/>
      <c r="U142" s="32"/>
      <c r="V142" s="32"/>
      <c r="W142" s="32"/>
      <c r="X142" s="32"/>
    </row>
    <row r="143" spans="3:24" ht="12">
      <c r="C143" s="13">
        <v>20</v>
      </c>
      <c r="D143" s="32">
        <v>0.0375</v>
      </c>
      <c r="E143" s="32">
        <v>0.07219</v>
      </c>
      <c r="F143" s="32">
        <v>0.06677</v>
      </c>
      <c r="G143" s="32">
        <v>0.06177</v>
      </c>
      <c r="H143" s="32">
        <v>0.05713</v>
      </c>
      <c r="I143" s="32">
        <v>0.05285</v>
      </c>
      <c r="J143" s="32">
        <v>0.04888</v>
      </c>
      <c r="K143" s="32">
        <v>0.04522</v>
      </c>
      <c r="L143" s="32">
        <v>0.04462</v>
      </c>
      <c r="M143" s="32">
        <v>0.044610000000000004</v>
      </c>
      <c r="N143" s="32">
        <v>0.04462</v>
      </c>
      <c r="O143" s="32">
        <v>0.044610000000000004</v>
      </c>
      <c r="P143" s="32">
        <v>0.04462</v>
      </c>
      <c r="Q143" s="32">
        <v>0.044610000000000004</v>
      </c>
      <c r="R143" s="32">
        <v>0.04462</v>
      </c>
      <c r="S143" s="32">
        <v>0.044610000000000004</v>
      </c>
      <c r="T143" s="32">
        <v>0.04462</v>
      </c>
      <c r="U143" s="32">
        <v>0.044610000000000004</v>
      </c>
      <c r="V143" s="32">
        <v>0.04462</v>
      </c>
      <c r="W143" s="32">
        <v>0.044610000000000004</v>
      </c>
      <c r="X143" s="32">
        <v>0.02231</v>
      </c>
    </row>
    <row r="144" spans="3:9" ht="12">
      <c r="C144" s="152" t="s">
        <v>90</v>
      </c>
      <c r="D144" s="235">
        <f>50%+50%*D139</f>
        <v>0.6</v>
      </c>
      <c r="E144" s="236">
        <f>50%*E139</f>
        <v>0.16</v>
      </c>
      <c r="F144" s="236">
        <f>50%*F139</f>
        <v>0.096</v>
      </c>
      <c r="G144" s="236">
        <f>50%*G139</f>
        <v>0.0576</v>
      </c>
      <c r="H144" s="236">
        <f>50%*H139</f>
        <v>0.0576</v>
      </c>
      <c r="I144" s="236">
        <f>50%*I139</f>
        <v>0.0288</v>
      </c>
    </row>
    <row r="148" spans="2:43" s="126" customFormat="1" ht="12">
      <c r="B148" s="233" t="s">
        <v>224</v>
      </c>
      <c r="C148" s="234" t="s">
        <v>88</v>
      </c>
      <c r="D148" s="112">
        <v>1</v>
      </c>
      <c r="E148" s="112">
        <v>2</v>
      </c>
      <c r="F148" s="112">
        <v>3</v>
      </c>
      <c r="G148" s="112">
        <v>4</v>
      </c>
      <c r="H148" s="112">
        <v>5</v>
      </c>
      <c r="I148" s="112">
        <v>6</v>
      </c>
      <c r="J148" s="112">
        <v>7</v>
      </c>
      <c r="K148" s="112">
        <v>8</v>
      </c>
      <c r="L148" s="112">
        <v>9</v>
      </c>
      <c r="M148" s="112">
        <v>10</v>
      </c>
      <c r="N148" s="112">
        <v>11</v>
      </c>
      <c r="O148" s="112">
        <v>12</v>
      </c>
      <c r="P148" s="112">
        <v>13</v>
      </c>
      <c r="Q148" s="112">
        <v>14</v>
      </c>
      <c r="R148" s="112">
        <v>15</v>
      </c>
      <c r="S148" s="112">
        <v>16</v>
      </c>
      <c r="T148" s="112">
        <v>17</v>
      </c>
      <c r="U148" s="112">
        <v>18</v>
      </c>
      <c r="V148" s="112">
        <v>19</v>
      </c>
      <c r="W148" s="112">
        <v>20</v>
      </c>
      <c r="X148" s="112">
        <v>21</v>
      </c>
      <c r="Y148" s="112">
        <v>22</v>
      </c>
      <c r="Z148" s="112">
        <v>23</v>
      </c>
      <c r="AA148" s="112">
        <v>24</v>
      </c>
      <c r="AB148" s="112">
        <v>25</v>
      </c>
      <c r="AC148" s="112">
        <v>26</v>
      </c>
      <c r="AD148" s="112">
        <v>27</v>
      </c>
      <c r="AE148" s="112">
        <v>28</v>
      </c>
      <c r="AF148" s="112">
        <v>29</v>
      </c>
      <c r="AG148" s="112">
        <v>30</v>
      </c>
      <c r="AH148" s="112">
        <v>31</v>
      </c>
      <c r="AI148" s="112">
        <v>32</v>
      </c>
      <c r="AJ148" s="112">
        <v>33</v>
      </c>
      <c r="AK148" s="112">
        <v>34</v>
      </c>
      <c r="AL148" s="112">
        <v>35</v>
      </c>
      <c r="AM148" s="112">
        <v>36</v>
      </c>
      <c r="AN148" s="112">
        <v>37</v>
      </c>
      <c r="AO148" s="112">
        <v>38</v>
      </c>
      <c r="AP148" s="112">
        <v>39</v>
      </c>
      <c r="AQ148" s="112">
        <v>40</v>
      </c>
    </row>
    <row r="149" spans="2:23" s="322" customFormat="1" ht="12">
      <c r="B149" s="320" t="s">
        <v>226</v>
      </c>
      <c r="C149" s="321"/>
      <c r="D149" s="322">
        <f aca="true" t="shared" si="63" ref="D149:W149">D35</f>
        <v>68.85257449662903</v>
      </c>
      <c r="E149" s="322">
        <f t="shared" si="63"/>
        <v>69.54110024159532</v>
      </c>
      <c r="F149" s="322">
        <f t="shared" si="63"/>
        <v>70.23651124401127</v>
      </c>
      <c r="G149" s="322">
        <f t="shared" si="63"/>
        <v>70.93887635645139</v>
      </c>
      <c r="H149" s="322">
        <f t="shared" si="63"/>
        <v>71.6482651200159</v>
      </c>
      <c r="I149" s="322">
        <f t="shared" si="63"/>
        <v>72.36474777121607</v>
      </c>
      <c r="J149" s="322">
        <f t="shared" si="63"/>
        <v>73.08839524892824</v>
      </c>
      <c r="K149" s="322">
        <f t="shared" si="63"/>
        <v>73.81927920141752</v>
      </c>
      <c r="L149" s="322">
        <f t="shared" si="63"/>
        <v>74.55747199343169</v>
      </c>
      <c r="M149" s="322">
        <f t="shared" si="63"/>
        <v>75.303046713366</v>
      </c>
      <c r="N149" s="322">
        <f t="shared" si="63"/>
        <v>76.05607718049966</v>
      </c>
      <c r="O149" s="322">
        <f t="shared" si="63"/>
        <v>76.81663795230466</v>
      </c>
      <c r="P149" s="322">
        <f t="shared" si="63"/>
        <v>77.58480433182771</v>
      </c>
      <c r="Q149" s="322">
        <f t="shared" si="63"/>
        <v>78.36065237514599</v>
      </c>
      <c r="R149" s="322">
        <f t="shared" si="63"/>
        <v>79.14425889889745</v>
      </c>
      <c r="S149" s="322">
        <f t="shared" si="63"/>
        <v>79.93570148788642</v>
      </c>
      <c r="T149" s="322">
        <f t="shared" si="63"/>
        <v>80.73505850276528</v>
      </c>
      <c r="U149" s="322">
        <f t="shared" si="63"/>
        <v>81.54240908779293</v>
      </c>
      <c r="V149" s="322">
        <f t="shared" si="63"/>
        <v>82.35783317867086</v>
      </c>
      <c r="W149" s="322">
        <f t="shared" si="63"/>
        <v>83.18141151045756</v>
      </c>
    </row>
    <row r="150" spans="2:23" s="119" customFormat="1" ht="12">
      <c r="B150" s="119" t="s">
        <v>227</v>
      </c>
      <c r="D150" s="119">
        <f aca="true" t="shared" si="64" ref="D150:W150">D93</f>
        <v>72.78230292055446</v>
      </c>
      <c r="E150" s="119">
        <f t="shared" si="64"/>
        <v>72.78230292055446</v>
      </c>
      <c r="F150" s="119">
        <f t="shared" si="64"/>
        <v>72.78230292055446</v>
      </c>
      <c r="G150" s="119">
        <f t="shared" si="64"/>
        <v>72.78230292055446</v>
      </c>
      <c r="H150" s="119">
        <f t="shared" si="64"/>
        <v>72.78230292055446</v>
      </c>
      <c r="I150" s="119">
        <f t="shared" si="64"/>
        <v>72.78230292055446</v>
      </c>
      <c r="J150" s="119">
        <f t="shared" si="64"/>
        <v>72.78230292055446</v>
      </c>
      <c r="K150" s="119">
        <f t="shared" si="64"/>
        <v>72.78230292055446</v>
      </c>
      <c r="L150" s="119">
        <f t="shared" si="64"/>
        <v>72.78230292055446</v>
      </c>
      <c r="M150" s="119">
        <f t="shared" si="64"/>
        <v>72.78230292055446</v>
      </c>
      <c r="N150" s="119">
        <f t="shared" si="64"/>
        <v>72.78230292055446</v>
      </c>
      <c r="O150" s="119">
        <f t="shared" si="64"/>
        <v>72.78230292055446</v>
      </c>
      <c r="P150" s="119">
        <f t="shared" si="64"/>
        <v>72.78230292055446</v>
      </c>
      <c r="Q150" s="119">
        <f t="shared" si="64"/>
        <v>72.78230292055446</v>
      </c>
      <c r="R150" s="119">
        <f t="shared" si="64"/>
        <v>72.78230292055446</v>
      </c>
      <c r="S150" s="119">
        <f t="shared" si="64"/>
        <v>72.78230292055446</v>
      </c>
      <c r="T150" s="119">
        <f t="shared" si="64"/>
        <v>72.78230292055446</v>
      </c>
      <c r="U150" s="119">
        <f t="shared" si="64"/>
        <v>72.78230292055446</v>
      </c>
      <c r="V150" s="119">
        <f t="shared" si="64"/>
        <v>72.78230292055446</v>
      </c>
      <c r="W150" s="119">
        <f t="shared" si="64"/>
        <v>72.78230292055446</v>
      </c>
    </row>
    <row r="151" ht="12">
      <c r="D151" s="237"/>
    </row>
    <row r="156" spans="3:24" ht="12"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</row>
    <row r="157" spans="4:24" ht="12"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</row>
    <row r="158" spans="3:24" ht="12"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</row>
  </sheetData>
  <sheetProtection/>
  <mergeCells count="1">
    <mergeCell ref="B2:C2"/>
  </mergeCells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theme="0" tint="-0.24997000396251678"/>
  </sheetPr>
  <dimension ref="B2:BG160"/>
  <sheetViews>
    <sheetView zoomScale="80" zoomScaleNormal="80" workbookViewId="0" topLeftCell="A1">
      <selection activeCell="C40" sqref="C40"/>
    </sheetView>
  </sheetViews>
  <sheetFormatPr defaultColWidth="9.140625" defaultRowHeight="12.75"/>
  <cols>
    <col min="1" max="1" width="9.140625" style="13" customWidth="1"/>
    <col min="2" max="2" width="33.8515625" style="13" customWidth="1"/>
    <col min="3" max="3" width="15.28125" style="13" customWidth="1"/>
    <col min="4" max="4" width="15.7109375" style="13" customWidth="1"/>
    <col min="5" max="5" width="14.28125" style="13" customWidth="1"/>
    <col min="6" max="6" width="16.421875" style="13" bestFit="1" customWidth="1"/>
    <col min="7" max="7" width="14.8515625" style="13" bestFit="1" customWidth="1"/>
    <col min="8" max="8" width="14.421875" style="13" customWidth="1"/>
    <col min="9" max="9" width="15.00390625" style="13" bestFit="1" customWidth="1"/>
    <col min="10" max="10" width="14.140625" style="13" customWidth="1"/>
    <col min="11" max="23" width="15.28125" style="13" bestFit="1" customWidth="1"/>
    <col min="24" max="43" width="15.140625" style="13" customWidth="1"/>
    <col min="44" max="44" width="35.8515625" style="13" customWidth="1"/>
    <col min="45" max="45" width="11.140625" style="13" bestFit="1" customWidth="1"/>
    <col min="46" max="46" width="11.421875" style="13" customWidth="1"/>
    <col min="47" max="47" width="10.421875" style="13" customWidth="1"/>
    <col min="48" max="48" width="9.140625" style="13" customWidth="1"/>
    <col min="49" max="49" width="12.7109375" style="13" customWidth="1"/>
    <col min="50" max="50" width="9.8515625" style="13" customWidth="1"/>
    <col min="51" max="51" width="10.00390625" style="13" bestFit="1" customWidth="1"/>
    <col min="52" max="52" width="16.421875" style="13" bestFit="1" customWidth="1"/>
    <col min="53" max="56" width="9.140625" style="13" customWidth="1"/>
    <col min="57" max="57" width="11.8515625" style="13" customWidth="1"/>
    <col min="58" max="59" width="9.28125" style="13" bestFit="1" customWidth="1"/>
    <col min="60" max="16384" width="9.140625" style="13" customWidth="1"/>
  </cols>
  <sheetData>
    <row r="2" spans="2:8" ht="18">
      <c r="B2" s="566" t="str">
        <f>Purchase!B2</f>
        <v>16750 W. Ancona Avenue, Old Mill Creek, Illinois (West Property)</v>
      </c>
      <c r="C2" s="539"/>
      <c r="G2" s="114"/>
      <c r="H2" s="114"/>
    </row>
    <row r="3" ht="12">
      <c r="B3" s="115" t="s">
        <v>10</v>
      </c>
    </row>
    <row r="4" spans="7:9" ht="12">
      <c r="G4" s="116"/>
      <c r="I4" s="117"/>
    </row>
    <row r="5" ht="12">
      <c r="I5" s="117"/>
    </row>
    <row r="6" spans="2:18" ht="12.75" thickBot="1">
      <c r="B6" s="103" t="s">
        <v>0</v>
      </c>
      <c r="C6" s="112"/>
      <c r="E6" s="103" t="s">
        <v>12</v>
      </c>
      <c r="F6" s="112"/>
      <c r="G6" s="112"/>
      <c r="H6" s="112"/>
      <c r="I6" s="118"/>
      <c r="J6" s="112" t="s">
        <v>150</v>
      </c>
      <c r="K6" s="112"/>
      <c r="L6" s="112"/>
      <c r="M6" s="112"/>
      <c r="O6" s="103" t="s">
        <v>22</v>
      </c>
      <c r="P6" s="112"/>
      <c r="Q6" s="112"/>
      <c r="R6" s="112"/>
    </row>
    <row r="7" spans="2:18" ht="12.75" thickBot="1">
      <c r="B7" s="13" t="s">
        <v>122</v>
      </c>
      <c r="C7" s="119">
        <f>Purchase!C7</f>
        <v>3</v>
      </c>
      <c r="E7" s="13" t="s">
        <v>13</v>
      </c>
      <c r="H7" s="113">
        <f>Overview!P8</f>
        <v>0.35</v>
      </c>
      <c r="I7" s="120"/>
      <c r="J7" s="113" t="s">
        <v>149</v>
      </c>
      <c r="K7" s="113"/>
      <c r="L7" s="113"/>
      <c r="M7" s="121">
        <f>SUM(Overview!N23:N25)+SUM(Overview!Q23:Q25)</f>
        <v>0</v>
      </c>
      <c r="O7" s="122" t="s">
        <v>26</v>
      </c>
      <c r="P7" s="123"/>
      <c r="Q7" s="123"/>
      <c r="R7" s="124">
        <f>-PMT(H21,C17,NPV(H21,D35:AQ35)+C35)/1000</f>
        <v>0.07415650370391753</v>
      </c>
    </row>
    <row r="8" spans="2:18" ht="12">
      <c r="B8" s="13" t="s">
        <v>130</v>
      </c>
      <c r="C8" s="125">
        <f>Purchase!C8</f>
        <v>0.5809525862068965</v>
      </c>
      <c r="D8" s="119"/>
      <c r="E8" s="13" t="s">
        <v>14</v>
      </c>
      <c r="H8" s="113">
        <f>Overview!P9</f>
        <v>0.0575</v>
      </c>
      <c r="I8" s="120"/>
      <c r="J8" s="113" t="s">
        <v>153</v>
      </c>
      <c r="K8" s="113"/>
      <c r="L8" s="113"/>
      <c r="M8" s="121">
        <f>Overview!M27*Overview!N27</f>
        <v>100</v>
      </c>
      <c r="O8" s="126" t="s">
        <v>24</v>
      </c>
      <c r="P8" s="12"/>
      <c r="Q8" s="12"/>
      <c r="R8" s="184">
        <f>NPV(H20,D59:AQ59)+C59</f>
        <v>87.9573287190139</v>
      </c>
    </row>
    <row r="9" spans="2:13" ht="12.75" customHeight="1">
      <c r="B9" s="13" t="s">
        <v>111</v>
      </c>
      <c r="C9" s="127">
        <f>Purchase!C9</f>
        <v>0</v>
      </c>
      <c r="E9" s="33" t="s">
        <v>15</v>
      </c>
      <c r="F9" s="33"/>
      <c r="G9" s="33"/>
      <c r="H9" s="128">
        <f>H7+H8*(1-H7)</f>
        <v>0.38737499999999997</v>
      </c>
      <c r="I9" s="129"/>
      <c r="J9" s="113" t="s">
        <v>154</v>
      </c>
      <c r="K9" s="113"/>
      <c r="L9" s="113"/>
      <c r="M9" s="121">
        <f>Overview!M28*Overview!N28</f>
        <v>100</v>
      </c>
    </row>
    <row r="10" spans="2:13" ht="12">
      <c r="B10" s="130" t="s">
        <v>1</v>
      </c>
      <c r="C10" s="131">
        <f>Purchase!C10</f>
        <v>1742857.7586206894</v>
      </c>
      <c r="E10" s="33" t="s">
        <v>116</v>
      </c>
      <c r="F10" s="33"/>
      <c r="G10" s="33"/>
      <c r="H10" s="132">
        <f>Overview!P10</f>
        <v>0.3</v>
      </c>
      <c r="I10" s="133"/>
      <c r="J10" s="113" t="s">
        <v>155</v>
      </c>
      <c r="K10" s="113"/>
      <c r="L10" s="113"/>
      <c r="M10" s="121">
        <f>Overview!M29*Overview!N29</f>
        <v>100</v>
      </c>
    </row>
    <row r="11" spans="5:21" ht="12">
      <c r="E11" s="33" t="s">
        <v>3</v>
      </c>
      <c r="F11" s="33"/>
      <c r="G11" s="33"/>
      <c r="H11" s="132">
        <f>0.5*H10</f>
        <v>0.15</v>
      </c>
      <c r="I11" s="133"/>
      <c r="J11" s="113" t="s">
        <v>156</v>
      </c>
      <c r="K11" s="113"/>
      <c r="L11" s="113"/>
      <c r="M11" s="121">
        <f>Overview!M30*Overview!N30</f>
        <v>100</v>
      </c>
      <c r="U11" s="134"/>
    </row>
    <row r="12" spans="5:20" ht="12">
      <c r="E12" s="12" t="s">
        <v>87</v>
      </c>
      <c r="F12" s="33"/>
      <c r="G12" s="33"/>
      <c r="H12" s="135">
        <f>Overview!P11</f>
        <v>5</v>
      </c>
      <c r="I12" s="136"/>
      <c r="J12" s="113" t="s">
        <v>157</v>
      </c>
      <c r="K12" s="113"/>
      <c r="L12" s="113"/>
      <c r="M12" s="121">
        <f>Overview!M31*Overview!N31</f>
        <v>100</v>
      </c>
      <c r="T12" s="137"/>
    </row>
    <row r="13" spans="2:30" ht="12">
      <c r="B13" s="138" t="s">
        <v>82</v>
      </c>
      <c r="C13" s="112"/>
      <c r="E13" s="12"/>
      <c r="I13" s="117"/>
      <c r="J13" s="113" t="s">
        <v>158</v>
      </c>
      <c r="K13" s="113"/>
      <c r="L13" s="113"/>
      <c r="M13" s="121">
        <f>Overview!M32*Overview!N32</f>
        <v>0</v>
      </c>
      <c r="S13" s="139"/>
      <c r="U13" s="140"/>
      <c r="AD13" s="141"/>
    </row>
    <row r="14" spans="2:33" ht="13.5" customHeight="1">
      <c r="B14" s="33" t="s">
        <v>117</v>
      </c>
      <c r="C14" s="142">
        <f>Purchase!C14</f>
        <v>0.14607762557077628</v>
      </c>
      <c r="I14" s="117"/>
      <c r="J14" s="113" t="s">
        <v>159</v>
      </c>
      <c r="K14" s="113"/>
      <c r="L14" s="113"/>
      <c r="M14" s="121">
        <f>Overview!M33*Overview!N33</f>
        <v>0</v>
      </c>
      <c r="T14" s="137"/>
      <c r="AG14" s="114"/>
    </row>
    <row r="15" spans="2:13" ht="12">
      <c r="B15" s="33" t="s">
        <v>132</v>
      </c>
      <c r="C15" s="143">
        <f>Purchase!C15</f>
        <v>743.410167413793</v>
      </c>
      <c r="E15" s="103" t="s">
        <v>11</v>
      </c>
      <c r="F15" s="112"/>
      <c r="G15" s="112"/>
      <c r="H15" s="112"/>
      <c r="I15" s="118"/>
      <c r="J15" s="113" t="s">
        <v>160</v>
      </c>
      <c r="K15" s="113"/>
      <c r="L15" s="113"/>
      <c r="M15" s="121">
        <f>Overview!M34*Overview!N34</f>
        <v>0</v>
      </c>
    </row>
    <row r="16" spans="2:21" ht="12">
      <c r="B16" s="13" t="s">
        <v>23</v>
      </c>
      <c r="C16" s="128">
        <f>Purchase!C16</f>
        <v>0.007</v>
      </c>
      <c r="E16" s="13" t="s">
        <v>27</v>
      </c>
      <c r="H16" s="144">
        <v>0.55</v>
      </c>
      <c r="I16" s="145"/>
      <c r="J16" s="113" t="s">
        <v>161</v>
      </c>
      <c r="K16" s="113"/>
      <c r="L16" s="113"/>
      <c r="M16" s="121">
        <f>Overview!M35*Overview!N35</f>
        <v>0</v>
      </c>
      <c r="T16" s="137"/>
      <c r="U16" s="146"/>
    </row>
    <row r="17" spans="2:13" ht="12">
      <c r="B17" s="13" t="s">
        <v>48</v>
      </c>
      <c r="C17" s="116">
        <f>Purchase!C17</f>
        <v>20</v>
      </c>
      <c r="E17" s="13" t="s">
        <v>28</v>
      </c>
      <c r="H17" s="144">
        <f>1-H16</f>
        <v>0.44999999999999996</v>
      </c>
      <c r="I17" s="145"/>
      <c r="J17" s="113" t="s">
        <v>162</v>
      </c>
      <c r="K17" s="113"/>
      <c r="L17" s="113"/>
      <c r="M17" s="121">
        <f>Overview!M36*Overview!N36</f>
        <v>0</v>
      </c>
    </row>
    <row r="18" spans="5:20" ht="12">
      <c r="E18" s="13" t="s">
        <v>29</v>
      </c>
      <c r="H18" s="96">
        <f>Overview!Q6</f>
        <v>0.04</v>
      </c>
      <c r="I18" s="147"/>
      <c r="J18" s="113" t="s">
        <v>163</v>
      </c>
      <c r="K18" s="113"/>
      <c r="L18" s="113"/>
      <c r="M18" s="121">
        <f>Overview!P27*Overview!Q27</f>
        <v>0</v>
      </c>
      <c r="T18" s="137"/>
    </row>
    <row r="19" spans="2:13" ht="12">
      <c r="B19" s="103" t="s">
        <v>9</v>
      </c>
      <c r="C19" s="112"/>
      <c r="E19" s="126" t="s">
        <v>30</v>
      </c>
      <c r="F19" s="126"/>
      <c r="G19" s="126"/>
      <c r="H19" s="148">
        <f>Overview!P7</f>
        <v>20</v>
      </c>
      <c r="I19" s="149"/>
      <c r="J19" s="113" t="s">
        <v>164</v>
      </c>
      <c r="K19" s="113"/>
      <c r="L19" s="113"/>
      <c r="M19" s="121">
        <f>Overview!P28*Overview!Q28</f>
        <v>0</v>
      </c>
    </row>
    <row r="20" spans="2:50" ht="12">
      <c r="B20" s="13" t="s">
        <v>36</v>
      </c>
      <c r="C20" s="119">
        <f>Purchase!C20</f>
        <v>25</v>
      </c>
      <c r="E20" s="12" t="s">
        <v>25</v>
      </c>
      <c r="F20" s="12"/>
      <c r="G20" s="12"/>
      <c r="H20" s="150">
        <v>0.1075</v>
      </c>
      <c r="I20" s="151"/>
      <c r="J20" s="113" t="s">
        <v>165</v>
      </c>
      <c r="K20" s="113"/>
      <c r="L20" s="113"/>
      <c r="M20" s="121">
        <f>Overview!P29*Overview!Q29</f>
        <v>0</v>
      </c>
      <c r="AX20" s="152"/>
    </row>
    <row r="21" spans="2:52" ht="12">
      <c r="B21" s="13" t="s">
        <v>37</v>
      </c>
      <c r="C21" s="113">
        <f>Purchase!C21</f>
        <v>0.02</v>
      </c>
      <c r="E21" s="12" t="s">
        <v>31</v>
      </c>
      <c r="H21" s="319">
        <f>(H16*H18)+(H17*H20)</f>
        <v>0.070375</v>
      </c>
      <c r="I21" s="113"/>
      <c r="J21" s="113" t="s">
        <v>166</v>
      </c>
      <c r="K21" s="113"/>
      <c r="L21" s="113"/>
      <c r="M21" s="121">
        <f>Overview!P30*Overview!Q30</f>
        <v>0</v>
      </c>
      <c r="AX21" s="153"/>
      <c r="AY21" s="153"/>
      <c r="AZ21" s="153"/>
    </row>
    <row r="22" spans="2:13" ht="12">
      <c r="B22" s="13" t="s">
        <v>40</v>
      </c>
      <c r="C22" s="119">
        <f>Purchase!C22</f>
        <v>0.25</v>
      </c>
      <c r="E22" s="12" t="s">
        <v>66</v>
      </c>
      <c r="F22" s="126"/>
      <c r="G22" s="126"/>
      <c r="H22" s="154">
        <v>0.038</v>
      </c>
      <c r="I22" s="154"/>
      <c r="J22" s="113" t="s">
        <v>167</v>
      </c>
      <c r="K22" s="113"/>
      <c r="L22" s="113"/>
      <c r="M22" s="121">
        <f>Overview!P31*Overview!Q31</f>
        <v>0</v>
      </c>
    </row>
    <row r="23" spans="2:13" ht="12">
      <c r="B23" s="126" t="str">
        <f>""&amp;C25&amp;"yr"&amp;" inverter replacement cost"</f>
        <v>10yr inverter replacement cost</v>
      </c>
      <c r="C23" s="157">
        <f>Purchase!C23</f>
        <v>145238.14655172412</v>
      </c>
      <c r="E23" s="13" t="s">
        <v>128</v>
      </c>
      <c r="H23" s="156">
        <f>Overview!P19</f>
        <v>0.01</v>
      </c>
      <c r="I23" s="156"/>
      <c r="J23" s="113" t="s">
        <v>168</v>
      </c>
      <c r="K23" s="113"/>
      <c r="L23" s="113"/>
      <c r="M23" s="121">
        <f>Overview!P32*Overview!Q32</f>
        <v>0</v>
      </c>
    </row>
    <row r="24" spans="2:13" ht="12">
      <c r="B24" s="126" t="s">
        <v>126</v>
      </c>
      <c r="C24" s="157">
        <f>Purchase!C24</f>
        <v>14523.814655172411</v>
      </c>
      <c r="H24" s="157"/>
      <c r="I24" s="157"/>
      <c r="J24" s="113" t="s">
        <v>169</v>
      </c>
      <c r="K24" s="113"/>
      <c r="L24" s="113"/>
      <c r="M24" s="121">
        <f>Overview!P33*Overview!Q33</f>
        <v>0</v>
      </c>
    </row>
    <row r="25" spans="2:13" ht="12">
      <c r="B25" s="13" t="s">
        <v>38</v>
      </c>
      <c r="C25" s="337">
        <f>Purchase!C25</f>
        <v>10</v>
      </c>
      <c r="E25" s="158" t="s">
        <v>32</v>
      </c>
      <c r="F25" s="159"/>
      <c r="G25" s="159"/>
      <c r="H25" s="131">
        <f>(H16*C10)-H24</f>
        <v>958571.7672413792</v>
      </c>
      <c r="I25" s="160"/>
      <c r="J25" s="113" t="s">
        <v>170</v>
      </c>
      <c r="K25" s="113"/>
      <c r="L25" s="113"/>
      <c r="M25" s="121">
        <f>Overview!P34*Overview!Q34</f>
        <v>0</v>
      </c>
    </row>
    <row r="26" spans="2:13" ht="14.25" customHeight="1">
      <c r="B26" s="13" t="s">
        <v>41</v>
      </c>
      <c r="C26" s="119">
        <f>Purchase!C26</f>
        <v>25</v>
      </c>
      <c r="E26" s="158" t="s">
        <v>33</v>
      </c>
      <c r="F26" s="159"/>
      <c r="G26" s="159"/>
      <c r="H26" s="131">
        <f>H17*C10</f>
        <v>784285.9913793101</v>
      </c>
      <c r="I26" s="161"/>
      <c r="J26" s="113" t="s">
        <v>171</v>
      </c>
      <c r="K26" s="113"/>
      <c r="L26" s="113"/>
      <c r="M26" s="121">
        <f>Overview!P35*Overview!Q35</f>
        <v>0</v>
      </c>
    </row>
    <row r="27" spans="2:13" ht="12">
      <c r="B27" s="13" t="s">
        <v>39</v>
      </c>
      <c r="C27" s="113">
        <f>Purchase!C27</f>
        <v>0.02</v>
      </c>
      <c r="J27" s="113" t="s">
        <v>172</v>
      </c>
      <c r="K27" s="113"/>
      <c r="L27" s="113"/>
      <c r="M27" s="121">
        <f>Overview!P36*Overview!Q36</f>
        <v>0</v>
      </c>
    </row>
    <row r="28" spans="3:7" ht="12">
      <c r="C28" s="162"/>
      <c r="G28" s="114"/>
    </row>
    <row r="29" spans="3:13" ht="12">
      <c r="C29" s="113"/>
      <c r="E29" s="33"/>
      <c r="F29" s="33"/>
      <c r="G29" s="174"/>
      <c r="H29" s="163"/>
      <c r="I29" s="33"/>
      <c r="J29" s="164"/>
      <c r="K29" s="164"/>
      <c r="L29" s="165"/>
      <c r="M29" s="166"/>
    </row>
    <row r="30" spans="2:12" ht="12">
      <c r="B30" s="37"/>
      <c r="C30" s="33"/>
      <c r="E30" s="33"/>
      <c r="F30" s="33"/>
      <c r="G30" s="33"/>
      <c r="H30" s="33"/>
      <c r="I30" s="33"/>
      <c r="J30" s="114"/>
      <c r="K30" s="167"/>
      <c r="L30" s="139"/>
    </row>
    <row r="31" spans="2:45" ht="12">
      <c r="B31" s="168" t="s">
        <v>4</v>
      </c>
      <c r="C31" s="168">
        <v>0</v>
      </c>
      <c r="D31" s="168">
        <v>1</v>
      </c>
      <c r="E31" s="168">
        <v>2</v>
      </c>
      <c r="F31" s="168">
        <v>3</v>
      </c>
      <c r="G31" s="168">
        <v>4</v>
      </c>
      <c r="H31" s="168">
        <v>5</v>
      </c>
      <c r="I31" s="168">
        <v>6</v>
      </c>
      <c r="J31" s="168">
        <v>7</v>
      </c>
      <c r="K31" s="168">
        <v>8</v>
      </c>
      <c r="L31" s="168">
        <v>9</v>
      </c>
      <c r="M31" s="168">
        <v>10</v>
      </c>
      <c r="N31" s="168">
        <v>11</v>
      </c>
      <c r="O31" s="168">
        <v>12</v>
      </c>
      <c r="P31" s="168">
        <v>13</v>
      </c>
      <c r="Q31" s="168">
        <v>14</v>
      </c>
      <c r="R31" s="168">
        <v>15</v>
      </c>
      <c r="S31" s="168">
        <v>16</v>
      </c>
      <c r="T31" s="168">
        <v>17</v>
      </c>
      <c r="U31" s="168">
        <v>18</v>
      </c>
      <c r="V31" s="168">
        <v>19</v>
      </c>
      <c r="W31" s="168">
        <v>20</v>
      </c>
      <c r="X31" s="168">
        <v>21</v>
      </c>
      <c r="Y31" s="168">
        <v>22</v>
      </c>
      <c r="Z31" s="168">
        <v>23</v>
      </c>
      <c r="AA31" s="168">
        <v>24</v>
      </c>
      <c r="AB31" s="168">
        <v>25</v>
      </c>
      <c r="AC31" s="168">
        <v>26</v>
      </c>
      <c r="AD31" s="168">
        <v>27</v>
      </c>
      <c r="AE31" s="168">
        <v>28</v>
      </c>
      <c r="AF31" s="168">
        <v>29</v>
      </c>
      <c r="AG31" s="168">
        <v>30</v>
      </c>
      <c r="AH31" s="168">
        <v>31</v>
      </c>
      <c r="AI31" s="168">
        <v>32</v>
      </c>
      <c r="AJ31" s="168">
        <v>33</v>
      </c>
      <c r="AK31" s="168">
        <v>34</v>
      </c>
      <c r="AL31" s="168">
        <v>35</v>
      </c>
      <c r="AM31" s="168">
        <v>36</v>
      </c>
      <c r="AN31" s="168">
        <v>37</v>
      </c>
      <c r="AO31" s="168">
        <v>38</v>
      </c>
      <c r="AP31" s="168">
        <v>39</v>
      </c>
      <c r="AQ31" s="168">
        <v>40</v>
      </c>
      <c r="AR31" s="169" t="s">
        <v>86</v>
      </c>
      <c r="AS31" s="170" t="s">
        <v>85</v>
      </c>
    </row>
    <row r="32" spans="2:45" ht="12">
      <c r="B32" s="1"/>
      <c r="C32" s="1"/>
      <c r="AR32" s="33"/>
      <c r="AS32" s="33"/>
    </row>
    <row r="33" spans="2:52" ht="12">
      <c r="B33" s="1" t="s">
        <v>131</v>
      </c>
      <c r="C33" s="1"/>
      <c r="D33" s="10">
        <f>C15</f>
        <v>743.410167413793</v>
      </c>
      <c r="E33" s="10">
        <f>IF($C$17&gt;=E31,D33*(1-$C$16),0)</f>
        <v>738.2062962418964</v>
      </c>
      <c r="F33" s="10">
        <f aca="true" t="shared" si="0" ref="F33:AQ33">IF($C$17&gt;=F31,E33*(1-$C$16),0)</f>
        <v>733.0388521682031</v>
      </c>
      <c r="G33" s="10">
        <f t="shared" si="0"/>
        <v>727.9075802030256</v>
      </c>
      <c r="H33" s="10">
        <f t="shared" si="0"/>
        <v>722.8122271416045</v>
      </c>
      <c r="I33" s="10">
        <f>IF($C$17&gt;=I31,H33*(1-$C$16),0)</f>
        <v>717.7525415516133</v>
      </c>
      <c r="J33" s="10">
        <f t="shared" si="0"/>
        <v>712.728273760752</v>
      </c>
      <c r="K33" s="10">
        <f t="shared" si="0"/>
        <v>707.7391758444268</v>
      </c>
      <c r="L33" s="10">
        <f t="shared" si="0"/>
        <v>702.7850016135158</v>
      </c>
      <c r="M33" s="10">
        <f t="shared" si="0"/>
        <v>697.8655066022211</v>
      </c>
      <c r="N33" s="10">
        <f t="shared" si="0"/>
        <v>692.9804480560056</v>
      </c>
      <c r="O33" s="10">
        <f t="shared" si="0"/>
        <v>688.1295849196135</v>
      </c>
      <c r="P33" s="10">
        <f t="shared" si="0"/>
        <v>683.3126778251763</v>
      </c>
      <c r="Q33" s="10">
        <f t="shared" si="0"/>
        <v>678.5294890804</v>
      </c>
      <c r="R33" s="10">
        <f t="shared" si="0"/>
        <v>673.7797826568373</v>
      </c>
      <c r="S33" s="10">
        <f t="shared" si="0"/>
        <v>669.0633241782394</v>
      </c>
      <c r="T33" s="10">
        <f t="shared" si="0"/>
        <v>664.3798809089917</v>
      </c>
      <c r="U33" s="10">
        <f t="shared" si="0"/>
        <v>659.7292217426287</v>
      </c>
      <c r="V33" s="10">
        <f t="shared" si="0"/>
        <v>655.1111171904304</v>
      </c>
      <c r="W33" s="10">
        <f t="shared" si="0"/>
        <v>650.5253393700974</v>
      </c>
      <c r="X33" s="10">
        <f t="shared" si="0"/>
        <v>0</v>
      </c>
      <c r="Y33" s="10">
        <f t="shared" si="0"/>
        <v>0</v>
      </c>
      <c r="Z33" s="10">
        <f t="shared" si="0"/>
        <v>0</v>
      </c>
      <c r="AA33" s="10">
        <f t="shared" si="0"/>
        <v>0</v>
      </c>
      <c r="AB33" s="10">
        <f t="shared" si="0"/>
        <v>0</v>
      </c>
      <c r="AC33" s="10">
        <f t="shared" si="0"/>
        <v>0</v>
      </c>
      <c r="AD33" s="10">
        <f t="shared" si="0"/>
        <v>0</v>
      </c>
      <c r="AE33" s="10">
        <f t="shared" si="0"/>
        <v>0</v>
      </c>
      <c r="AF33" s="10">
        <f t="shared" si="0"/>
        <v>0</v>
      </c>
      <c r="AG33" s="10">
        <f t="shared" si="0"/>
        <v>0</v>
      </c>
      <c r="AH33" s="10">
        <f t="shared" si="0"/>
        <v>0</v>
      </c>
      <c r="AI33" s="10">
        <f t="shared" si="0"/>
        <v>0</v>
      </c>
      <c r="AJ33" s="10">
        <f t="shared" si="0"/>
        <v>0</v>
      </c>
      <c r="AK33" s="10">
        <f t="shared" si="0"/>
        <v>0</v>
      </c>
      <c r="AL33" s="10">
        <f t="shared" si="0"/>
        <v>0</v>
      </c>
      <c r="AM33" s="10">
        <f t="shared" si="0"/>
        <v>0</v>
      </c>
      <c r="AN33" s="10">
        <f t="shared" si="0"/>
        <v>0</v>
      </c>
      <c r="AO33" s="10">
        <f t="shared" si="0"/>
        <v>0</v>
      </c>
      <c r="AP33" s="10">
        <f t="shared" si="0"/>
        <v>0</v>
      </c>
      <c r="AQ33" s="10">
        <f t="shared" si="0"/>
        <v>0</v>
      </c>
      <c r="AR33" s="27" t="s">
        <v>131</v>
      </c>
      <c r="AS33" s="171">
        <f>-PMT(H20,$C$17,NPV(H20,$D33:$AQ33))</f>
        <v>711.6016103072915</v>
      </c>
      <c r="AT33" s="171"/>
      <c r="AU33" s="171"/>
      <c r="AV33" s="171"/>
      <c r="AX33" s="172"/>
      <c r="AY33" s="172"/>
      <c r="AZ33" s="172"/>
    </row>
    <row r="34" spans="3:52" s="126" customFormat="1" ht="12"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73"/>
      <c r="AS34" s="174"/>
      <c r="AT34" s="174"/>
      <c r="AU34" s="12"/>
      <c r="AV34" s="12"/>
      <c r="AX34" s="172"/>
      <c r="AY34" s="172"/>
      <c r="AZ34" s="172"/>
    </row>
    <row r="35" spans="2:52" s="126" customFormat="1" ht="12">
      <c r="B35" s="12" t="s">
        <v>174</v>
      </c>
      <c r="C35" s="175"/>
      <c r="D35" s="176">
        <f>Purchase!D35</f>
        <v>68.85257449662903</v>
      </c>
      <c r="E35" s="176">
        <f>IF(E31&lt;=$C$17,D35*(1+$H$23),0)</f>
        <v>69.54110024159532</v>
      </c>
      <c r="F35" s="176">
        <f aca="true" t="shared" si="1" ref="F35:AQ35">IF(F31&lt;=$C$17,E35*(1+$H$23),0)</f>
        <v>70.23651124401127</v>
      </c>
      <c r="G35" s="176">
        <f t="shared" si="1"/>
        <v>70.93887635645139</v>
      </c>
      <c r="H35" s="176">
        <f t="shared" si="1"/>
        <v>71.6482651200159</v>
      </c>
      <c r="I35" s="176">
        <f t="shared" si="1"/>
        <v>72.36474777121607</v>
      </c>
      <c r="J35" s="176">
        <f t="shared" si="1"/>
        <v>73.08839524892824</v>
      </c>
      <c r="K35" s="176">
        <f t="shared" si="1"/>
        <v>73.81927920141752</v>
      </c>
      <c r="L35" s="176">
        <f t="shared" si="1"/>
        <v>74.55747199343169</v>
      </c>
      <c r="M35" s="176">
        <f t="shared" si="1"/>
        <v>75.303046713366</v>
      </c>
      <c r="N35" s="176">
        <f t="shared" si="1"/>
        <v>76.05607718049966</v>
      </c>
      <c r="O35" s="176">
        <f t="shared" si="1"/>
        <v>76.81663795230466</v>
      </c>
      <c r="P35" s="176">
        <f t="shared" si="1"/>
        <v>77.58480433182771</v>
      </c>
      <c r="Q35" s="176">
        <f t="shared" si="1"/>
        <v>78.36065237514599</v>
      </c>
      <c r="R35" s="176">
        <f t="shared" si="1"/>
        <v>79.14425889889745</v>
      </c>
      <c r="S35" s="176">
        <f t="shared" si="1"/>
        <v>79.93570148788642</v>
      </c>
      <c r="T35" s="176">
        <f t="shared" si="1"/>
        <v>80.73505850276528</v>
      </c>
      <c r="U35" s="176">
        <f t="shared" si="1"/>
        <v>81.54240908779293</v>
      </c>
      <c r="V35" s="176">
        <f t="shared" si="1"/>
        <v>82.35783317867086</v>
      </c>
      <c r="W35" s="176">
        <f t="shared" si="1"/>
        <v>83.18141151045756</v>
      </c>
      <c r="X35" s="176">
        <f t="shared" si="1"/>
        <v>0</v>
      </c>
      <c r="Y35" s="176">
        <f t="shared" si="1"/>
        <v>0</v>
      </c>
      <c r="Z35" s="176">
        <f t="shared" si="1"/>
        <v>0</v>
      </c>
      <c r="AA35" s="176">
        <f t="shared" si="1"/>
        <v>0</v>
      </c>
      <c r="AB35" s="176">
        <f t="shared" si="1"/>
        <v>0</v>
      </c>
      <c r="AC35" s="176">
        <f t="shared" si="1"/>
        <v>0</v>
      </c>
      <c r="AD35" s="176">
        <f t="shared" si="1"/>
        <v>0</v>
      </c>
      <c r="AE35" s="176">
        <f t="shared" si="1"/>
        <v>0</v>
      </c>
      <c r="AF35" s="176">
        <f t="shared" si="1"/>
        <v>0</v>
      </c>
      <c r="AG35" s="176">
        <f t="shared" si="1"/>
        <v>0</v>
      </c>
      <c r="AH35" s="176">
        <f t="shared" si="1"/>
        <v>0</v>
      </c>
      <c r="AI35" s="176">
        <f t="shared" si="1"/>
        <v>0</v>
      </c>
      <c r="AJ35" s="176">
        <f t="shared" si="1"/>
        <v>0</v>
      </c>
      <c r="AK35" s="176">
        <f t="shared" si="1"/>
        <v>0</v>
      </c>
      <c r="AL35" s="176">
        <f t="shared" si="1"/>
        <v>0</v>
      </c>
      <c r="AM35" s="176">
        <f t="shared" si="1"/>
        <v>0</v>
      </c>
      <c r="AN35" s="176">
        <f t="shared" si="1"/>
        <v>0</v>
      </c>
      <c r="AO35" s="176">
        <f t="shared" si="1"/>
        <v>0</v>
      </c>
      <c r="AP35" s="176">
        <f t="shared" si="1"/>
        <v>0</v>
      </c>
      <c r="AQ35" s="176">
        <f t="shared" si="1"/>
        <v>0</v>
      </c>
      <c r="AR35" s="177" t="s">
        <v>83</v>
      </c>
      <c r="AS35" s="178">
        <f>C93</f>
        <v>19.932880140565008</v>
      </c>
      <c r="AT35" s="178"/>
      <c r="AU35" s="178"/>
      <c r="AV35" s="178"/>
      <c r="AX35" s="172"/>
      <c r="AY35" s="172"/>
      <c r="AZ35" s="172"/>
    </row>
    <row r="36" spans="2:52" ht="12">
      <c r="B36" s="33" t="s">
        <v>220</v>
      </c>
      <c r="C36" s="179"/>
      <c r="D36" s="179">
        <f>(D33*D35)+$M7+($M8*D$33)</f>
        <v>125526.72067478896</v>
      </c>
      <c r="E36" s="179">
        <f>(E33*E35)+($M9*E$33)</f>
        <v>125156.30767012417</v>
      </c>
      <c r="F36" s="179">
        <f>(F33*F35)+($M10*F$33)</f>
        <v>124789.97679942942</v>
      </c>
      <c r="G36" s="179">
        <f>(G33*G35)+($M11*G$33)</f>
        <v>124427.70385124872</v>
      </c>
      <c r="H36" s="179">
        <f>(H33*H35)+($M12*H$33)</f>
        <v>124069.46479639129</v>
      </c>
      <c r="I36" s="179">
        <f>(I33*I35)+($M13*I$33)</f>
        <v>51939.98163153178</v>
      </c>
      <c r="J36" s="179">
        <f>(J33*J35)+($M14*J$33)</f>
        <v>52092.16577771217</v>
      </c>
      <c r="K36" s="179">
        <f>(K33*K35)+($M15*K$33)</f>
        <v>52244.795823440865</v>
      </c>
      <c r="L36" s="179">
        <f>(L33*L35)+($M16*L$33)</f>
        <v>52397.87307520355</v>
      </c>
      <c r="M36" s="179">
        <f>(M33*M35)+($M17*M$33)</f>
        <v>52551.39884331389</v>
      </c>
      <c r="N36" s="179">
        <f>(N33*N35)+($M18*N$33)</f>
        <v>52705.374441924796</v>
      </c>
      <c r="O36" s="179">
        <f>(O33*O35)+($M19*O$33)</f>
        <v>52859.80118903964</v>
      </c>
      <c r="P36" s="179">
        <f>(P33*P35)+($M20*P$33)</f>
        <v>53014.68040652353</v>
      </c>
      <c r="Q36" s="179">
        <f>(Q33*Q35)+($M21*Q$33)</f>
        <v>53170.01342011464</v>
      </c>
      <c r="R36" s="179">
        <f>(R33*R35)+($M22*R$33)</f>
        <v>53325.80155943558</v>
      </c>
      <c r="S36" s="179">
        <f>(S33*S35)+($M23*S$33)</f>
        <v>53482.04615800473</v>
      </c>
      <c r="T36" s="179">
        <f>(T33*T35)+($M24*T$33)</f>
        <v>53638.74855324768</v>
      </c>
      <c r="U36" s="179">
        <f>(U33*U35)+($M25*U$33)</f>
        <v>53795.91008650869</v>
      </c>
      <c r="V36" s="179">
        <f>(V33*V35)+($M26*V$33)</f>
        <v>53953.53210306216</v>
      </c>
      <c r="W36" s="179">
        <f>(W33*W35)+($M27*W$33)</f>
        <v>54111.615952124135</v>
      </c>
      <c r="X36" s="179">
        <f>(X33*X35)+($M9*X$33)</f>
        <v>0</v>
      </c>
      <c r="Y36" s="179">
        <f>(Y33*Y35)+($M9*Y$33)</f>
        <v>0</v>
      </c>
      <c r="Z36" s="179">
        <f aca="true" t="shared" si="2" ref="Z36:AQ36">(Z33*Z35)</f>
        <v>0</v>
      </c>
      <c r="AA36" s="179">
        <f t="shared" si="2"/>
        <v>0</v>
      </c>
      <c r="AB36" s="179">
        <f t="shared" si="2"/>
        <v>0</v>
      </c>
      <c r="AC36" s="179">
        <f t="shared" si="2"/>
        <v>0</v>
      </c>
      <c r="AD36" s="179">
        <f t="shared" si="2"/>
        <v>0</v>
      </c>
      <c r="AE36" s="179">
        <f t="shared" si="2"/>
        <v>0</v>
      </c>
      <c r="AF36" s="179">
        <f t="shared" si="2"/>
        <v>0</v>
      </c>
      <c r="AG36" s="179">
        <f t="shared" si="2"/>
        <v>0</v>
      </c>
      <c r="AH36" s="179">
        <f t="shared" si="2"/>
        <v>0</v>
      </c>
      <c r="AI36" s="179">
        <f t="shared" si="2"/>
        <v>0</v>
      </c>
      <c r="AJ36" s="179">
        <f t="shared" si="2"/>
        <v>0</v>
      </c>
      <c r="AK36" s="179">
        <f t="shared" si="2"/>
        <v>0</v>
      </c>
      <c r="AL36" s="179">
        <f t="shared" si="2"/>
        <v>0</v>
      </c>
      <c r="AM36" s="179">
        <f t="shared" si="2"/>
        <v>0</v>
      </c>
      <c r="AN36" s="179">
        <f t="shared" si="2"/>
        <v>0</v>
      </c>
      <c r="AO36" s="179">
        <f t="shared" si="2"/>
        <v>0</v>
      </c>
      <c r="AP36" s="179">
        <f t="shared" si="2"/>
        <v>0</v>
      </c>
      <c r="AQ36" s="179">
        <f t="shared" si="2"/>
        <v>0</v>
      </c>
      <c r="AR36" s="180" t="s">
        <v>84</v>
      </c>
      <c r="AS36" s="181">
        <f>-PMT($H$20,$C$17,NPV($H$20,$D36:$AQ36)+$C36)/AS$33</f>
        <v>120.67877153574453</v>
      </c>
      <c r="AT36" s="181"/>
      <c r="AU36" s="153"/>
      <c r="AV36" s="153"/>
      <c r="AX36" s="172"/>
      <c r="AY36" s="172"/>
      <c r="AZ36" s="172"/>
    </row>
    <row r="37" spans="2:56" ht="12">
      <c r="B37" s="5" t="s">
        <v>221</v>
      </c>
      <c r="C37" s="20"/>
      <c r="D37" s="20">
        <f>D36</f>
        <v>125526.72067478896</v>
      </c>
      <c r="E37" s="20">
        <f aca="true" t="shared" si="3" ref="E37:AQ37">E36</f>
        <v>125156.30767012417</v>
      </c>
      <c r="F37" s="20">
        <f t="shared" si="3"/>
        <v>124789.97679942942</v>
      </c>
      <c r="G37" s="20">
        <f t="shared" si="3"/>
        <v>124427.70385124872</v>
      </c>
      <c r="H37" s="20">
        <f t="shared" si="3"/>
        <v>124069.46479639129</v>
      </c>
      <c r="I37" s="20">
        <f t="shared" si="3"/>
        <v>51939.98163153178</v>
      </c>
      <c r="J37" s="20">
        <f t="shared" si="3"/>
        <v>52092.16577771217</v>
      </c>
      <c r="K37" s="20">
        <f t="shared" si="3"/>
        <v>52244.795823440865</v>
      </c>
      <c r="L37" s="20">
        <f t="shared" si="3"/>
        <v>52397.87307520355</v>
      </c>
      <c r="M37" s="20">
        <f t="shared" si="3"/>
        <v>52551.39884331389</v>
      </c>
      <c r="N37" s="20">
        <f t="shared" si="3"/>
        <v>52705.374441924796</v>
      </c>
      <c r="O37" s="20">
        <f t="shared" si="3"/>
        <v>52859.80118903964</v>
      </c>
      <c r="P37" s="20">
        <f t="shared" si="3"/>
        <v>53014.68040652353</v>
      </c>
      <c r="Q37" s="20">
        <f t="shared" si="3"/>
        <v>53170.01342011464</v>
      </c>
      <c r="R37" s="20">
        <f t="shared" si="3"/>
        <v>53325.80155943558</v>
      </c>
      <c r="S37" s="20">
        <f t="shared" si="3"/>
        <v>53482.04615800473</v>
      </c>
      <c r="T37" s="20">
        <f t="shared" si="3"/>
        <v>53638.74855324768</v>
      </c>
      <c r="U37" s="20">
        <f t="shared" si="3"/>
        <v>53795.91008650869</v>
      </c>
      <c r="V37" s="20">
        <f t="shared" si="3"/>
        <v>53953.53210306216</v>
      </c>
      <c r="W37" s="20">
        <f t="shared" si="3"/>
        <v>54111.615952124135</v>
      </c>
      <c r="X37" s="20">
        <f t="shared" si="3"/>
        <v>0</v>
      </c>
      <c r="Y37" s="20">
        <f t="shared" si="3"/>
        <v>0</v>
      </c>
      <c r="Z37" s="20">
        <f t="shared" si="3"/>
        <v>0</v>
      </c>
      <c r="AA37" s="20">
        <f t="shared" si="3"/>
        <v>0</v>
      </c>
      <c r="AB37" s="20">
        <f t="shared" si="3"/>
        <v>0</v>
      </c>
      <c r="AC37" s="20">
        <f t="shared" si="3"/>
        <v>0</v>
      </c>
      <c r="AD37" s="20">
        <f t="shared" si="3"/>
        <v>0</v>
      </c>
      <c r="AE37" s="20">
        <f t="shared" si="3"/>
        <v>0</v>
      </c>
      <c r="AF37" s="20">
        <f t="shared" si="3"/>
        <v>0</v>
      </c>
      <c r="AG37" s="20">
        <f t="shared" si="3"/>
        <v>0</v>
      </c>
      <c r="AH37" s="20">
        <f t="shared" si="3"/>
        <v>0</v>
      </c>
      <c r="AI37" s="20">
        <f t="shared" si="3"/>
        <v>0</v>
      </c>
      <c r="AJ37" s="20">
        <f t="shared" si="3"/>
        <v>0</v>
      </c>
      <c r="AK37" s="20">
        <f t="shared" si="3"/>
        <v>0</v>
      </c>
      <c r="AL37" s="20">
        <f t="shared" si="3"/>
        <v>0</v>
      </c>
      <c r="AM37" s="20">
        <f t="shared" si="3"/>
        <v>0</v>
      </c>
      <c r="AN37" s="20">
        <f t="shared" si="3"/>
        <v>0</v>
      </c>
      <c r="AO37" s="20">
        <f t="shared" si="3"/>
        <v>0</v>
      </c>
      <c r="AP37" s="20">
        <f t="shared" si="3"/>
        <v>0</v>
      </c>
      <c r="AQ37" s="20">
        <f t="shared" si="3"/>
        <v>0</v>
      </c>
      <c r="AR37" s="28" t="s">
        <v>5</v>
      </c>
      <c r="AS37" s="153">
        <f>-PMT($H$20,$C$17,NPV($H$20,$D37:$AQ37)+$C37)/AS$33</f>
        <v>120.67877153574453</v>
      </c>
      <c r="AT37" s="153"/>
      <c r="AU37" s="153"/>
      <c r="AV37" s="153"/>
      <c r="AX37" s="172"/>
      <c r="AY37" s="172"/>
      <c r="AZ37" s="172"/>
      <c r="BB37" s="182"/>
      <c r="BC37" s="182"/>
      <c r="BD37" s="182"/>
    </row>
    <row r="38" spans="2:56" ht="12">
      <c r="B38" s="33"/>
      <c r="C38" s="179"/>
      <c r="D38" s="174"/>
      <c r="E38" s="179"/>
      <c r="F38" s="175"/>
      <c r="G38" s="175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80"/>
      <c r="AS38" s="153"/>
      <c r="AT38" s="153"/>
      <c r="AU38" s="153"/>
      <c r="AV38" s="153"/>
      <c r="AX38" s="172"/>
      <c r="AY38" s="172"/>
      <c r="AZ38" s="172"/>
      <c r="BB38" s="182"/>
      <c r="BC38" s="182"/>
      <c r="BD38" s="182"/>
    </row>
    <row r="39" spans="2:56" s="126" customFormat="1" ht="12">
      <c r="B39" s="33" t="s">
        <v>6</v>
      </c>
      <c r="C39" s="179"/>
      <c r="D39" s="183">
        <f aca="true" t="shared" si="4" ref="D39:AQ39">IF($C$17&gt;=D31,-$C$8*$C$20*1000)*(1+$C$21)^(D31)</f>
        <v>-14814.29094827586</v>
      </c>
      <c r="E39" s="183">
        <f t="shared" si="4"/>
        <v>-15110.576767241377</v>
      </c>
      <c r="F39" s="183">
        <f t="shared" si="4"/>
        <v>-15412.788302586203</v>
      </c>
      <c r="G39" s="183">
        <f t="shared" si="4"/>
        <v>-15721.044068637928</v>
      </c>
      <c r="H39" s="183">
        <f t="shared" si="4"/>
        <v>-16035.464950010686</v>
      </c>
      <c r="I39" s="183">
        <f t="shared" si="4"/>
        <v>-16356.1742490109</v>
      </c>
      <c r="J39" s="183">
        <f t="shared" si="4"/>
        <v>-16683.297733991116</v>
      </c>
      <c r="K39" s="183">
        <f t="shared" si="4"/>
        <v>-17016.96368867094</v>
      </c>
      <c r="L39" s="183">
        <f t="shared" si="4"/>
        <v>-17357.30296244436</v>
      </c>
      <c r="M39" s="183">
        <f t="shared" si="4"/>
        <v>-17704.449021693246</v>
      </c>
      <c r="N39" s="183">
        <f t="shared" si="4"/>
        <v>-18058.53800212711</v>
      </c>
      <c r="O39" s="183">
        <f t="shared" si="4"/>
        <v>-18419.708762169652</v>
      </c>
      <c r="P39" s="183">
        <f t="shared" si="4"/>
        <v>-18788.102937413045</v>
      </c>
      <c r="Q39" s="183">
        <f t="shared" si="4"/>
        <v>-19163.86499616131</v>
      </c>
      <c r="R39" s="183">
        <f t="shared" si="4"/>
        <v>-19547.14229608453</v>
      </c>
      <c r="S39" s="183">
        <f t="shared" si="4"/>
        <v>-19938.085142006224</v>
      </c>
      <c r="T39" s="183">
        <f t="shared" si="4"/>
        <v>-20336.84684484635</v>
      </c>
      <c r="U39" s="183">
        <f t="shared" si="4"/>
        <v>-20743.583781743273</v>
      </c>
      <c r="V39" s="183">
        <f t="shared" si="4"/>
        <v>-21158.45545737814</v>
      </c>
      <c r="W39" s="183">
        <f t="shared" si="4"/>
        <v>-21581.624566525705</v>
      </c>
      <c r="X39" s="183">
        <f t="shared" si="4"/>
        <v>0</v>
      </c>
      <c r="Y39" s="183">
        <f t="shared" si="4"/>
        <v>0</v>
      </c>
      <c r="Z39" s="183">
        <f t="shared" si="4"/>
        <v>0</v>
      </c>
      <c r="AA39" s="183">
        <f t="shared" si="4"/>
        <v>0</v>
      </c>
      <c r="AB39" s="183">
        <f t="shared" si="4"/>
        <v>0</v>
      </c>
      <c r="AC39" s="183">
        <f t="shared" si="4"/>
        <v>0</v>
      </c>
      <c r="AD39" s="183">
        <f t="shared" si="4"/>
        <v>0</v>
      </c>
      <c r="AE39" s="183">
        <f t="shared" si="4"/>
        <v>0</v>
      </c>
      <c r="AF39" s="183">
        <f t="shared" si="4"/>
        <v>0</v>
      </c>
      <c r="AG39" s="183">
        <f t="shared" si="4"/>
        <v>0</v>
      </c>
      <c r="AH39" s="183">
        <f t="shared" si="4"/>
        <v>0</v>
      </c>
      <c r="AI39" s="183">
        <f t="shared" si="4"/>
        <v>0</v>
      </c>
      <c r="AJ39" s="183">
        <f t="shared" si="4"/>
        <v>0</v>
      </c>
      <c r="AK39" s="183">
        <f t="shared" si="4"/>
        <v>0</v>
      </c>
      <c r="AL39" s="183">
        <f t="shared" si="4"/>
        <v>0</v>
      </c>
      <c r="AM39" s="183">
        <f t="shared" si="4"/>
        <v>0</v>
      </c>
      <c r="AN39" s="183">
        <f t="shared" si="4"/>
        <v>0</v>
      </c>
      <c r="AO39" s="183">
        <f t="shared" si="4"/>
        <v>0</v>
      </c>
      <c r="AP39" s="183">
        <f t="shared" si="4"/>
        <v>0</v>
      </c>
      <c r="AQ39" s="183">
        <f t="shared" si="4"/>
        <v>0</v>
      </c>
      <c r="AR39" s="180" t="s">
        <v>6</v>
      </c>
      <c r="AS39" s="153">
        <f>-PMT($H$20,$C$17,NPV($H$20,$D39:$AQ39)+$C39)/AS$33</f>
        <v>-23.723511308627113</v>
      </c>
      <c r="AT39" s="153"/>
      <c r="AU39" s="153"/>
      <c r="AV39" s="153"/>
      <c r="AX39" s="172"/>
      <c r="AY39" s="172"/>
      <c r="AZ39" s="172"/>
      <c r="BB39" s="182"/>
      <c r="BC39" s="182"/>
      <c r="BD39" s="182"/>
    </row>
    <row r="40" spans="2:56" ht="12">
      <c r="B40" s="12" t="s">
        <v>95</v>
      </c>
      <c r="C40" s="175"/>
      <c r="D40" s="184">
        <f>D114</f>
        <v>-14523.814655172411</v>
      </c>
      <c r="E40" s="184">
        <f aca="true" t="shared" si="5" ref="E40:AQ40">E114</f>
        <v>-13971.90969827586</v>
      </c>
      <c r="F40" s="184">
        <f t="shared" si="5"/>
        <v>-13420.004741379307</v>
      </c>
      <c r="G40" s="184">
        <f t="shared" si="5"/>
        <v>-12868.099784482756</v>
      </c>
      <c r="H40" s="184">
        <f t="shared" si="5"/>
        <v>-12316.194827586205</v>
      </c>
      <c r="I40" s="184">
        <f t="shared" si="5"/>
        <v>-11764.289870689652</v>
      </c>
      <c r="J40" s="184">
        <f t="shared" si="5"/>
        <v>-11212.384913793101</v>
      </c>
      <c r="K40" s="184">
        <f t="shared" si="5"/>
        <v>-10660.47995689655</v>
      </c>
      <c r="L40" s="184">
        <f t="shared" si="5"/>
        <v>-10108.574999999999</v>
      </c>
      <c r="M40" s="184">
        <f t="shared" si="5"/>
        <v>-9556.670043103448</v>
      </c>
      <c r="N40" s="184">
        <f t="shared" si="5"/>
        <v>-14523.814655172413</v>
      </c>
      <c r="O40" s="184">
        <f t="shared" si="5"/>
        <v>-13971.90969827586</v>
      </c>
      <c r="P40" s="184">
        <f t="shared" si="5"/>
        <v>-13420.004741379309</v>
      </c>
      <c r="Q40" s="184">
        <f t="shared" si="5"/>
        <v>-12868.099784482758</v>
      </c>
      <c r="R40" s="184">
        <f t="shared" si="5"/>
        <v>-12316.194827586205</v>
      </c>
      <c r="S40" s="184">
        <f t="shared" si="5"/>
        <v>-11764.289870689654</v>
      </c>
      <c r="T40" s="184">
        <f t="shared" si="5"/>
        <v>-11212.384913793103</v>
      </c>
      <c r="U40" s="184">
        <f t="shared" si="5"/>
        <v>-10660.479956896552</v>
      </c>
      <c r="V40" s="184">
        <f t="shared" si="5"/>
        <v>-10108.575</v>
      </c>
      <c r="W40" s="184">
        <f t="shared" si="5"/>
        <v>-9556.670043103506</v>
      </c>
      <c r="X40" s="184">
        <f t="shared" si="5"/>
        <v>0</v>
      </c>
      <c r="Y40" s="184">
        <f t="shared" si="5"/>
        <v>0</v>
      </c>
      <c r="Z40" s="184">
        <f t="shared" si="5"/>
        <v>0</v>
      </c>
      <c r="AA40" s="184">
        <f t="shared" si="5"/>
        <v>0</v>
      </c>
      <c r="AB40" s="184">
        <f t="shared" si="5"/>
        <v>0</v>
      </c>
      <c r="AC40" s="184">
        <f t="shared" si="5"/>
        <v>0</v>
      </c>
      <c r="AD40" s="184">
        <f t="shared" si="5"/>
        <v>0</v>
      </c>
      <c r="AE40" s="184">
        <f t="shared" si="5"/>
        <v>0</v>
      </c>
      <c r="AF40" s="184">
        <f t="shared" si="5"/>
        <v>0</v>
      </c>
      <c r="AG40" s="184">
        <f t="shared" si="5"/>
        <v>0</v>
      </c>
      <c r="AH40" s="184">
        <f t="shared" si="5"/>
        <v>0</v>
      </c>
      <c r="AI40" s="184">
        <f t="shared" si="5"/>
        <v>0</v>
      </c>
      <c r="AJ40" s="184">
        <f t="shared" si="5"/>
        <v>0</v>
      </c>
      <c r="AK40" s="184">
        <f t="shared" si="5"/>
        <v>0</v>
      </c>
      <c r="AL40" s="184">
        <f t="shared" si="5"/>
        <v>0</v>
      </c>
      <c r="AM40" s="184">
        <f t="shared" si="5"/>
        <v>0</v>
      </c>
      <c r="AN40" s="184">
        <f t="shared" si="5"/>
        <v>0</v>
      </c>
      <c r="AO40" s="184">
        <f t="shared" si="5"/>
        <v>0</v>
      </c>
      <c r="AP40" s="184">
        <f t="shared" si="5"/>
        <v>0</v>
      </c>
      <c r="AQ40" s="184">
        <f t="shared" si="5"/>
        <v>0</v>
      </c>
      <c r="AR40" s="177" t="s">
        <v>96</v>
      </c>
      <c r="AS40" s="153">
        <f>-PMT($H$20,$C$17,NPV($H$20,$D40:$AQ40)+$C40)/AS$33</f>
        <v>-17.562056889342927</v>
      </c>
      <c r="AT40" s="153"/>
      <c r="AU40" s="153"/>
      <c r="AV40" s="153"/>
      <c r="AX40" s="172"/>
      <c r="AY40" s="172"/>
      <c r="AZ40" s="172"/>
      <c r="BB40" s="182"/>
      <c r="BC40" s="182"/>
      <c r="BD40" s="182"/>
    </row>
    <row r="41" spans="2:56" ht="12">
      <c r="B41" s="12" t="s">
        <v>7</v>
      </c>
      <c r="C41" s="175"/>
      <c r="D41" s="184">
        <f aca="true" t="shared" si="6" ref="D41:AQ41">IF($C$17&gt;=D31,-$C$26*$C$8*1000*(1+$C$27)^(D31),0)</f>
        <v>-14814.29094827586</v>
      </c>
      <c r="E41" s="184">
        <f t="shared" si="6"/>
        <v>-15110.576767241377</v>
      </c>
      <c r="F41" s="184">
        <f t="shared" si="6"/>
        <v>-15412.788302586203</v>
      </c>
      <c r="G41" s="184">
        <f t="shared" si="6"/>
        <v>-15721.044068637928</v>
      </c>
      <c r="H41" s="184">
        <f t="shared" si="6"/>
        <v>-16035.464950010686</v>
      </c>
      <c r="I41" s="184">
        <f t="shared" si="6"/>
        <v>-16356.1742490109</v>
      </c>
      <c r="J41" s="184">
        <f t="shared" si="6"/>
        <v>-16683.297733991116</v>
      </c>
      <c r="K41" s="184">
        <f t="shared" si="6"/>
        <v>-17016.96368867094</v>
      </c>
      <c r="L41" s="184">
        <f t="shared" si="6"/>
        <v>-17357.30296244436</v>
      </c>
      <c r="M41" s="184">
        <f t="shared" si="6"/>
        <v>-17704.449021693246</v>
      </c>
      <c r="N41" s="184">
        <f t="shared" si="6"/>
        <v>-18058.53800212711</v>
      </c>
      <c r="O41" s="184">
        <f t="shared" si="6"/>
        <v>-18419.708762169652</v>
      </c>
      <c r="P41" s="184">
        <f t="shared" si="6"/>
        <v>-18788.102937413045</v>
      </c>
      <c r="Q41" s="184">
        <f t="shared" si="6"/>
        <v>-19163.86499616131</v>
      </c>
      <c r="R41" s="184">
        <f t="shared" si="6"/>
        <v>-19547.14229608453</v>
      </c>
      <c r="S41" s="184">
        <f t="shared" si="6"/>
        <v>-19938.085142006224</v>
      </c>
      <c r="T41" s="184">
        <f t="shared" si="6"/>
        <v>-20336.84684484635</v>
      </c>
      <c r="U41" s="184">
        <f t="shared" si="6"/>
        <v>-20743.583781743273</v>
      </c>
      <c r="V41" s="184">
        <f t="shared" si="6"/>
        <v>-21158.45545737814</v>
      </c>
      <c r="W41" s="184">
        <f t="shared" si="6"/>
        <v>-21581.624566525705</v>
      </c>
      <c r="X41" s="184">
        <f t="shared" si="6"/>
        <v>0</v>
      </c>
      <c r="Y41" s="184">
        <f t="shared" si="6"/>
        <v>0</v>
      </c>
      <c r="Z41" s="184">
        <f t="shared" si="6"/>
        <v>0</v>
      </c>
      <c r="AA41" s="184">
        <f t="shared" si="6"/>
        <v>0</v>
      </c>
      <c r="AB41" s="184">
        <f t="shared" si="6"/>
        <v>0</v>
      </c>
      <c r="AC41" s="184">
        <f t="shared" si="6"/>
        <v>0</v>
      </c>
      <c r="AD41" s="184">
        <f t="shared" si="6"/>
        <v>0</v>
      </c>
      <c r="AE41" s="184">
        <f t="shared" si="6"/>
        <v>0</v>
      </c>
      <c r="AF41" s="184">
        <f t="shared" si="6"/>
        <v>0</v>
      </c>
      <c r="AG41" s="184">
        <f t="shared" si="6"/>
        <v>0</v>
      </c>
      <c r="AH41" s="184">
        <f t="shared" si="6"/>
        <v>0</v>
      </c>
      <c r="AI41" s="184">
        <f t="shared" si="6"/>
        <v>0</v>
      </c>
      <c r="AJ41" s="184">
        <f t="shared" si="6"/>
        <v>0</v>
      </c>
      <c r="AK41" s="184">
        <f t="shared" si="6"/>
        <v>0</v>
      </c>
      <c r="AL41" s="184">
        <f t="shared" si="6"/>
        <v>0</v>
      </c>
      <c r="AM41" s="184">
        <f t="shared" si="6"/>
        <v>0</v>
      </c>
      <c r="AN41" s="184">
        <f t="shared" si="6"/>
        <v>0</v>
      </c>
      <c r="AO41" s="184">
        <f t="shared" si="6"/>
        <v>0</v>
      </c>
      <c r="AP41" s="184">
        <f t="shared" si="6"/>
        <v>0</v>
      </c>
      <c r="AQ41" s="184">
        <f t="shared" si="6"/>
        <v>0</v>
      </c>
      <c r="AR41" s="177" t="s">
        <v>7</v>
      </c>
      <c r="AS41" s="153">
        <f>-PMT($H$20,$C$17,NPV($H$20,$D41:$AQ41)+$C41)/AS$33</f>
        <v>-23.723511308627113</v>
      </c>
      <c r="AT41" s="153"/>
      <c r="AU41" s="153"/>
      <c r="AV41" s="153"/>
      <c r="AX41" s="172"/>
      <c r="AY41" s="172"/>
      <c r="AZ41" s="172"/>
      <c r="BB41" s="182"/>
      <c r="BC41" s="182"/>
      <c r="BD41" s="182"/>
    </row>
    <row r="42" spans="2:56" ht="12">
      <c r="B42" s="9" t="s">
        <v>8</v>
      </c>
      <c r="C42" s="23"/>
      <c r="D42" s="23">
        <f aca="true" t="shared" si="7" ref="D42:W42">SUM(D39:D41)</f>
        <v>-44152.39655172413</v>
      </c>
      <c r="E42" s="23">
        <f t="shared" si="7"/>
        <v>-44193.06323275861</v>
      </c>
      <c r="F42" s="23">
        <f t="shared" si="7"/>
        <v>-44245.58134655171</v>
      </c>
      <c r="G42" s="23">
        <f t="shared" si="7"/>
        <v>-44310.18792175861</v>
      </c>
      <c r="H42" s="23">
        <f t="shared" si="7"/>
        <v>-44387.124727607574</v>
      </c>
      <c r="I42" s="23">
        <f t="shared" si="7"/>
        <v>-44476.63836871146</v>
      </c>
      <c r="J42" s="23">
        <f t="shared" si="7"/>
        <v>-44578.980381775335</v>
      </c>
      <c r="K42" s="23">
        <f t="shared" si="7"/>
        <v>-44694.407334238436</v>
      </c>
      <c r="L42" s="23">
        <f t="shared" si="7"/>
        <v>-44823.180924888715</v>
      </c>
      <c r="M42" s="23">
        <f t="shared" si="7"/>
        <v>-44965.56808648994</v>
      </c>
      <c r="N42" s="23">
        <f t="shared" si="7"/>
        <v>-50640.89065942663</v>
      </c>
      <c r="O42" s="23">
        <f t="shared" si="7"/>
        <v>-50811.32722261516</v>
      </c>
      <c r="P42" s="23">
        <f t="shared" si="7"/>
        <v>-50996.2106162054</v>
      </c>
      <c r="Q42" s="23">
        <f t="shared" si="7"/>
        <v>-51195.829776805374</v>
      </c>
      <c r="R42" s="23">
        <f t="shared" si="7"/>
        <v>-51410.47941975527</v>
      </c>
      <c r="S42" s="23">
        <f t="shared" si="7"/>
        <v>-51640.4601547021</v>
      </c>
      <c r="T42" s="23">
        <f t="shared" si="7"/>
        <v>-51886.0786034858</v>
      </c>
      <c r="U42" s="23">
        <f t="shared" si="7"/>
        <v>-52147.64752038309</v>
      </c>
      <c r="V42" s="23">
        <f t="shared" si="7"/>
        <v>-52425.48591475628</v>
      </c>
      <c r="W42" s="23">
        <f t="shared" si="7"/>
        <v>-52719.919176154915</v>
      </c>
      <c r="X42" s="23">
        <f aca="true" t="shared" si="8" ref="X42:AQ42">SUM(X39:X41)</f>
        <v>0</v>
      </c>
      <c r="Y42" s="23">
        <f t="shared" si="8"/>
        <v>0</v>
      </c>
      <c r="Z42" s="23">
        <f t="shared" si="8"/>
        <v>0</v>
      </c>
      <c r="AA42" s="23">
        <f t="shared" si="8"/>
        <v>0</v>
      </c>
      <c r="AB42" s="23">
        <f t="shared" si="8"/>
        <v>0</v>
      </c>
      <c r="AC42" s="23">
        <f t="shared" si="8"/>
        <v>0</v>
      </c>
      <c r="AD42" s="23">
        <f t="shared" si="8"/>
        <v>0</v>
      </c>
      <c r="AE42" s="23">
        <f t="shared" si="8"/>
        <v>0</v>
      </c>
      <c r="AF42" s="23">
        <f t="shared" si="8"/>
        <v>0</v>
      </c>
      <c r="AG42" s="23">
        <f t="shared" si="8"/>
        <v>0</v>
      </c>
      <c r="AH42" s="23">
        <f t="shared" si="8"/>
        <v>0</v>
      </c>
      <c r="AI42" s="23">
        <f t="shared" si="8"/>
        <v>0</v>
      </c>
      <c r="AJ42" s="23">
        <f t="shared" si="8"/>
        <v>0</v>
      </c>
      <c r="AK42" s="23">
        <f t="shared" si="8"/>
        <v>0</v>
      </c>
      <c r="AL42" s="23">
        <f t="shared" si="8"/>
        <v>0</v>
      </c>
      <c r="AM42" s="23">
        <f t="shared" si="8"/>
        <v>0</v>
      </c>
      <c r="AN42" s="23">
        <f t="shared" si="8"/>
        <v>0</v>
      </c>
      <c r="AO42" s="23">
        <f t="shared" si="8"/>
        <v>0</v>
      </c>
      <c r="AP42" s="23">
        <f t="shared" si="8"/>
        <v>0</v>
      </c>
      <c r="AQ42" s="23">
        <f t="shared" si="8"/>
        <v>0</v>
      </c>
      <c r="AR42" s="21" t="s">
        <v>8</v>
      </c>
      <c r="AS42" s="153">
        <f>-PMT($H$20,$C$17,NPV($H$20,$D42:$AQ42)+$C42)/AS$33</f>
        <v>-65.00907950659713</v>
      </c>
      <c r="AT42" s="153"/>
      <c r="AU42" s="153"/>
      <c r="AV42" s="153"/>
      <c r="AX42" s="172"/>
      <c r="AY42" s="172"/>
      <c r="AZ42" s="172"/>
      <c r="BB42" s="182"/>
      <c r="BC42" s="182"/>
      <c r="BD42" s="182"/>
    </row>
    <row r="43" spans="2:56" ht="12">
      <c r="B43" s="14"/>
      <c r="C43" s="3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9"/>
      <c r="AS43" s="153"/>
      <c r="AT43" s="153"/>
      <c r="AU43" s="153"/>
      <c r="AV43" s="153"/>
      <c r="AX43" s="172"/>
      <c r="AY43" s="172"/>
      <c r="AZ43" s="172"/>
      <c r="BB43" s="182"/>
      <c r="BC43" s="182"/>
      <c r="BD43" s="182"/>
    </row>
    <row r="44" spans="2:56" ht="12">
      <c r="B44" s="8" t="s">
        <v>47</v>
      </c>
      <c r="C44" s="22"/>
      <c r="D44" s="22">
        <f aca="true" t="shared" si="9" ref="D44:AQ44">D37+D42</f>
        <v>81374.32412306483</v>
      </c>
      <c r="E44" s="22">
        <f t="shared" si="9"/>
        <v>80963.24443736556</v>
      </c>
      <c r="F44" s="22">
        <f t="shared" si="9"/>
        <v>80544.39545287771</v>
      </c>
      <c r="G44" s="22">
        <f t="shared" si="9"/>
        <v>80117.51592949011</v>
      </c>
      <c r="H44" s="22">
        <f t="shared" si="9"/>
        <v>79682.34006878371</v>
      </c>
      <c r="I44" s="22">
        <f t="shared" si="9"/>
        <v>7463.343262820323</v>
      </c>
      <c r="J44" s="22">
        <f t="shared" si="9"/>
        <v>7513.185395936838</v>
      </c>
      <c r="K44" s="22">
        <f t="shared" si="9"/>
        <v>7550.388489202429</v>
      </c>
      <c r="L44" s="22">
        <f t="shared" si="9"/>
        <v>7574.692150314833</v>
      </c>
      <c r="M44" s="22">
        <f t="shared" si="9"/>
        <v>7585.830756823947</v>
      </c>
      <c r="N44" s="22">
        <f t="shared" si="9"/>
        <v>2064.483782498166</v>
      </c>
      <c r="O44" s="22">
        <f t="shared" si="9"/>
        <v>2048.473966424477</v>
      </c>
      <c r="P44" s="22">
        <f t="shared" si="9"/>
        <v>2018.4697903181295</v>
      </c>
      <c r="Q44" s="22">
        <f t="shared" si="9"/>
        <v>1974.1836433092685</v>
      </c>
      <c r="R44" s="22">
        <f t="shared" si="9"/>
        <v>1915.3221396803128</v>
      </c>
      <c r="S44" s="22">
        <f t="shared" si="9"/>
        <v>1841.5860033026256</v>
      </c>
      <c r="T44" s="22">
        <f t="shared" si="9"/>
        <v>1752.6699497618756</v>
      </c>
      <c r="U44" s="22">
        <f t="shared" si="9"/>
        <v>1648.2625661255952</v>
      </c>
      <c r="V44" s="22">
        <f t="shared" si="9"/>
        <v>1528.0461883058815</v>
      </c>
      <c r="W44" s="22">
        <f t="shared" si="9"/>
        <v>1391.6967759692197</v>
      </c>
      <c r="X44" s="22">
        <f t="shared" si="9"/>
        <v>0</v>
      </c>
      <c r="Y44" s="22">
        <f t="shared" si="9"/>
        <v>0</v>
      </c>
      <c r="Z44" s="22">
        <f t="shared" si="9"/>
        <v>0</v>
      </c>
      <c r="AA44" s="22">
        <f t="shared" si="9"/>
        <v>0</v>
      </c>
      <c r="AB44" s="22">
        <f t="shared" si="9"/>
        <v>0</v>
      </c>
      <c r="AC44" s="22">
        <f t="shared" si="9"/>
        <v>0</v>
      </c>
      <c r="AD44" s="22">
        <f t="shared" si="9"/>
        <v>0</v>
      </c>
      <c r="AE44" s="22">
        <f t="shared" si="9"/>
        <v>0</v>
      </c>
      <c r="AF44" s="22">
        <f t="shared" si="9"/>
        <v>0</v>
      </c>
      <c r="AG44" s="22">
        <f t="shared" si="9"/>
        <v>0</v>
      </c>
      <c r="AH44" s="22">
        <f t="shared" si="9"/>
        <v>0</v>
      </c>
      <c r="AI44" s="22">
        <f t="shared" si="9"/>
        <v>0</v>
      </c>
      <c r="AJ44" s="22">
        <f t="shared" si="9"/>
        <v>0</v>
      </c>
      <c r="AK44" s="22">
        <f t="shared" si="9"/>
        <v>0</v>
      </c>
      <c r="AL44" s="22">
        <f t="shared" si="9"/>
        <v>0</v>
      </c>
      <c r="AM44" s="22">
        <f t="shared" si="9"/>
        <v>0</v>
      </c>
      <c r="AN44" s="22">
        <f t="shared" si="9"/>
        <v>0</v>
      </c>
      <c r="AO44" s="22">
        <f t="shared" si="9"/>
        <v>0</v>
      </c>
      <c r="AP44" s="22">
        <f t="shared" si="9"/>
        <v>0</v>
      </c>
      <c r="AQ44" s="22">
        <f t="shared" si="9"/>
        <v>0</v>
      </c>
      <c r="AR44" s="30" t="s">
        <v>47</v>
      </c>
      <c r="AS44" s="153">
        <f aca="true" t="shared" si="10" ref="AS44:AS49">-PMT($H$20,$C$17,NPV($H$20,$D44:$AQ44)+$C44)/AS$33</f>
        <v>55.66969202914733</v>
      </c>
      <c r="AT44" s="153"/>
      <c r="AU44" s="153"/>
      <c r="AV44" s="153"/>
      <c r="AX44" s="172"/>
      <c r="AY44" s="172"/>
      <c r="AZ44" s="172"/>
      <c r="BB44" s="182"/>
      <c r="BC44" s="182"/>
      <c r="BD44" s="182"/>
    </row>
    <row r="45" spans="2:56" s="126" customFormat="1" ht="12">
      <c r="B45" s="126" t="s">
        <v>16</v>
      </c>
      <c r="C45" s="185"/>
      <c r="D45" s="184">
        <f>-D101</f>
        <v>-31371.439655172406</v>
      </c>
      <c r="E45" s="184">
        <f aca="true" t="shared" si="11" ref="E45:AQ45">-E101</f>
        <v>-30317.93180122276</v>
      </c>
      <c r="F45" s="184">
        <f t="shared" si="11"/>
        <v>-29222.283633115123</v>
      </c>
      <c r="G45" s="184">
        <f t="shared" si="11"/>
        <v>-28082.809538283185</v>
      </c>
      <c r="H45" s="184">
        <f t="shared" si="11"/>
        <v>-26897.756479657968</v>
      </c>
      <c r="I45" s="184">
        <f t="shared" si="11"/>
        <v>-25665.301298687744</v>
      </c>
      <c r="J45" s="184">
        <f t="shared" si="11"/>
        <v>-24383.54791047871</v>
      </c>
      <c r="K45" s="184">
        <f t="shared" si="11"/>
        <v>-23050.52438674131</v>
      </c>
      <c r="L45" s="184">
        <f t="shared" si="11"/>
        <v>-21664.17992205442</v>
      </c>
      <c r="M45" s="184">
        <f t="shared" si="11"/>
        <v>-20222.381678780053</v>
      </c>
      <c r="N45" s="184">
        <f t="shared" si="11"/>
        <v>-18722.91150577471</v>
      </c>
      <c r="O45" s="184">
        <f t="shared" si="11"/>
        <v>-17163.462525849158</v>
      </c>
      <c r="P45" s="184">
        <f t="shared" si="11"/>
        <v>-15541.63558672658</v>
      </c>
      <c r="Q45" s="184">
        <f t="shared" si="11"/>
        <v>-13854.9355700391</v>
      </c>
      <c r="R45" s="184">
        <f t="shared" si="11"/>
        <v>-12100.76755268412</v>
      </c>
      <c r="S45" s="184">
        <f t="shared" si="11"/>
        <v>-10276.432814634942</v>
      </c>
      <c r="T45" s="184">
        <f t="shared" si="11"/>
        <v>-8379.124687063795</v>
      </c>
      <c r="U45" s="184">
        <f t="shared" si="11"/>
        <v>-6405.924234389802</v>
      </c>
      <c r="V45" s="184">
        <f t="shared" si="11"/>
        <v>-4353.79576360885</v>
      </c>
      <c r="W45" s="184">
        <f t="shared" si="11"/>
        <v>-2219.582153996661</v>
      </c>
      <c r="X45" s="184">
        <f t="shared" si="11"/>
        <v>0</v>
      </c>
      <c r="Y45" s="184">
        <f t="shared" si="11"/>
        <v>0</v>
      </c>
      <c r="Z45" s="184">
        <f t="shared" si="11"/>
        <v>0</v>
      </c>
      <c r="AA45" s="184">
        <f t="shared" si="11"/>
        <v>0</v>
      </c>
      <c r="AB45" s="184">
        <f t="shared" si="11"/>
        <v>0</v>
      </c>
      <c r="AC45" s="184">
        <f t="shared" si="11"/>
        <v>0</v>
      </c>
      <c r="AD45" s="184">
        <f t="shared" si="11"/>
        <v>0</v>
      </c>
      <c r="AE45" s="184">
        <f t="shared" si="11"/>
        <v>0</v>
      </c>
      <c r="AF45" s="184">
        <f t="shared" si="11"/>
        <v>0</v>
      </c>
      <c r="AG45" s="184">
        <f t="shared" si="11"/>
        <v>0</v>
      </c>
      <c r="AH45" s="184">
        <f t="shared" si="11"/>
        <v>0</v>
      </c>
      <c r="AI45" s="184">
        <f t="shared" si="11"/>
        <v>0</v>
      </c>
      <c r="AJ45" s="184">
        <f t="shared" si="11"/>
        <v>0</v>
      </c>
      <c r="AK45" s="184">
        <f t="shared" si="11"/>
        <v>0</v>
      </c>
      <c r="AL45" s="184">
        <f t="shared" si="11"/>
        <v>0</v>
      </c>
      <c r="AM45" s="184">
        <f t="shared" si="11"/>
        <v>0</v>
      </c>
      <c r="AN45" s="184">
        <f t="shared" si="11"/>
        <v>0</v>
      </c>
      <c r="AO45" s="184">
        <f t="shared" si="11"/>
        <v>0</v>
      </c>
      <c r="AP45" s="184">
        <f t="shared" si="11"/>
        <v>0</v>
      </c>
      <c r="AQ45" s="184">
        <f t="shared" si="11"/>
        <v>0</v>
      </c>
      <c r="AR45" s="173" t="s">
        <v>16</v>
      </c>
      <c r="AS45" s="153">
        <f t="shared" si="10"/>
        <v>-32.62126766737078</v>
      </c>
      <c r="AT45" s="153"/>
      <c r="AU45" s="153"/>
      <c r="AV45" s="153"/>
      <c r="AX45" s="172"/>
      <c r="AY45" s="172"/>
      <c r="AZ45" s="172"/>
      <c r="BB45" s="182"/>
      <c r="BC45" s="182"/>
      <c r="BD45" s="182"/>
    </row>
    <row r="46" spans="2:56" s="126" customFormat="1" ht="12">
      <c r="B46" s="12" t="s">
        <v>73</v>
      </c>
      <c r="C46" s="26"/>
      <c r="D46" s="184">
        <f>-D103</f>
        <v>-26337.696348741185</v>
      </c>
      <c r="E46" s="184">
        <f aca="true" t="shared" si="12" ref="E46:AQ46">-E103</f>
        <v>-27391.20420269083</v>
      </c>
      <c r="F46" s="184">
        <f t="shared" si="12"/>
        <v>-28486.852370798468</v>
      </c>
      <c r="G46" s="184">
        <f t="shared" si="12"/>
        <v>-29626.326465630405</v>
      </c>
      <c r="H46" s="184">
        <f t="shared" si="12"/>
        <v>-30811.379524255623</v>
      </c>
      <c r="I46" s="184">
        <f t="shared" si="12"/>
        <v>-32043.834705225847</v>
      </c>
      <c r="J46" s="184">
        <f t="shared" si="12"/>
        <v>-33325.58809343488</v>
      </c>
      <c r="K46" s="184">
        <f t="shared" si="12"/>
        <v>-34658.61161717228</v>
      </c>
      <c r="L46" s="184">
        <f t="shared" si="12"/>
        <v>-36044.95608185917</v>
      </c>
      <c r="M46" s="184">
        <f t="shared" si="12"/>
        <v>-37486.75432513354</v>
      </c>
      <c r="N46" s="184">
        <f t="shared" si="12"/>
        <v>-38986.22449813888</v>
      </c>
      <c r="O46" s="184">
        <f t="shared" si="12"/>
        <v>-40545.67347806443</v>
      </c>
      <c r="P46" s="184">
        <f t="shared" si="12"/>
        <v>-42167.50041718701</v>
      </c>
      <c r="Q46" s="184">
        <f t="shared" si="12"/>
        <v>-43854.20043387449</v>
      </c>
      <c r="R46" s="184">
        <f t="shared" si="12"/>
        <v>-45608.36845122947</v>
      </c>
      <c r="S46" s="184">
        <f t="shared" si="12"/>
        <v>-47432.70318927865</v>
      </c>
      <c r="T46" s="184">
        <f t="shared" si="12"/>
        <v>-49330.01131684979</v>
      </c>
      <c r="U46" s="184">
        <f t="shared" si="12"/>
        <v>-51303.21176952379</v>
      </c>
      <c r="V46" s="184">
        <f t="shared" si="12"/>
        <v>-53355.34024030474</v>
      </c>
      <c r="W46" s="184">
        <f t="shared" si="12"/>
        <v>-55489.55384991693</v>
      </c>
      <c r="X46" s="184">
        <f t="shared" si="12"/>
        <v>0</v>
      </c>
      <c r="Y46" s="184">
        <f t="shared" si="12"/>
        <v>0</v>
      </c>
      <c r="Z46" s="184">
        <f t="shared" si="12"/>
        <v>0</v>
      </c>
      <c r="AA46" s="184">
        <f t="shared" si="12"/>
        <v>0</v>
      </c>
      <c r="AB46" s="184">
        <f t="shared" si="12"/>
        <v>0</v>
      </c>
      <c r="AC46" s="184">
        <f t="shared" si="12"/>
        <v>0</v>
      </c>
      <c r="AD46" s="184">
        <f t="shared" si="12"/>
        <v>0</v>
      </c>
      <c r="AE46" s="184">
        <f t="shared" si="12"/>
        <v>0</v>
      </c>
      <c r="AF46" s="184">
        <f t="shared" si="12"/>
        <v>0</v>
      </c>
      <c r="AG46" s="184">
        <f t="shared" si="12"/>
        <v>0</v>
      </c>
      <c r="AH46" s="184">
        <f t="shared" si="12"/>
        <v>0</v>
      </c>
      <c r="AI46" s="184">
        <f t="shared" si="12"/>
        <v>0</v>
      </c>
      <c r="AJ46" s="184">
        <f t="shared" si="12"/>
        <v>0</v>
      </c>
      <c r="AK46" s="184">
        <f t="shared" si="12"/>
        <v>0</v>
      </c>
      <c r="AL46" s="184">
        <f t="shared" si="12"/>
        <v>0</v>
      </c>
      <c r="AM46" s="184">
        <f t="shared" si="12"/>
        <v>0</v>
      </c>
      <c r="AN46" s="184">
        <f t="shared" si="12"/>
        <v>0</v>
      </c>
      <c r="AO46" s="184">
        <f t="shared" si="12"/>
        <v>0</v>
      </c>
      <c r="AP46" s="184">
        <f t="shared" si="12"/>
        <v>0</v>
      </c>
      <c r="AQ46" s="184">
        <f t="shared" si="12"/>
        <v>0</v>
      </c>
      <c r="AR46" s="177" t="s">
        <v>73</v>
      </c>
      <c r="AS46" s="153">
        <f t="shared" si="10"/>
        <v>-48.476266638366724</v>
      </c>
      <c r="AT46" s="153"/>
      <c r="AU46" s="153"/>
      <c r="AV46" s="153"/>
      <c r="AX46" s="172"/>
      <c r="AY46" s="172"/>
      <c r="AZ46" s="172"/>
      <c r="BB46" s="182"/>
      <c r="BC46" s="182"/>
      <c r="BD46" s="182"/>
    </row>
    <row r="47" spans="2:56" s="126" customFormat="1" ht="12">
      <c r="B47" s="12" t="s">
        <v>49</v>
      </c>
      <c r="C47" s="184"/>
      <c r="D47" s="184">
        <f aca="true" t="shared" si="13" ref="D47:AQ47">$C$9*(IF(D97=0,-1,IF(D97=$H$19,1,0)))</f>
        <v>0</v>
      </c>
      <c r="E47" s="184">
        <f t="shared" si="13"/>
        <v>0</v>
      </c>
      <c r="F47" s="184">
        <f t="shared" si="13"/>
        <v>0</v>
      </c>
      <c r="G47" s="184">
        <f t="shared" si="13"/>
        <v>0</v>
      </c>
      <c r="H47" s="184">
        <f t="shared" si="13"/>
        <v>0</v>
      </c>
      <c r="I47" s="184">
        <f t="shared" si="13"/>
        <v>0</v>
      </c>
      <c r="J47" s="184">
        <f t="shared" si="13"/>
        <v>0</v>
      </c>
      <c r="K47" s="184">
        <f t="shared" si="13"/>
        <v>0</v>
      </c>
      <c r="L47" s="184">
        <f t="shared" si="13"/>
        <v>0</v>
      </c>
      <c r="M47" s="184">
        <f t="shared" si="13"/>
        <v>0</v>
      </c>
      <c r="N47" s="184">
        <f t="shared" si="13"/>
        <v>0</v>
      </c>
      <c r="O47" s="184">
        <f t="shared" si="13"/>
        <v>0</v>
      </c>
      <c r="P47" s="184">
        <f t="shared" si="13"/>
        <v>0</v>
      </c>
      <c r="Q47" s="184">
        <f t="shared" si="13"/>
        <v>0</v>
      </c>
      <c r="R47" s="184">
        <f t="shared" si="13"/>
        <v>0</v>
      </c>
      <c r="S47" s="184">
        <f t="shared" si="13"/>
        <v>0</v>
      </c>
      <c r="T47" s="184">
        <f t="shared" si="13"/>
        <v>0</v>
      </c>
      <c r="U47" s="184">
        <f t="shared" si="13"/>
        <v>0</v>
      </c>
      <c r="V47" s="184">
        <f t="shared" si="13"/>
        <v>0</v>
      </c>
      <c r="W47" s="184">
        <f t="shared" si="13"/>
        <v>0</v>
      </c>
      <c r="X47" s="184">
        <f t="shared" si="13"/>
        <v>0</v>
      </c>
      <c r="Y47" s="184">
        <f t="shared" si="13"/>
        <v>0</v>
      </c>
      <c r="Z47" s="184">
        <f t="shared" si="13"/>
        <v>0</v>
      </c>
      <c r="AA47" s="184">
        <f t="shared" si="13"/>
        <v>0</v>
      </c>
      <c r="AB47" s="184">
        <f t="shared" si="13"/>
        <v>0</v>
      </c>
      <c r="AC47" s="184">
        <f t="shared" si="13"/>
        <v>0</v>
      </c>
      <c r="AD47" s="184">
        <f t="shared" si="13"/>
        <v>0</v>
      </c>
      <c r="AE47" s="184">
        <f t="shared" si="13"/>
        <v>0</v>
      </c>
      <c r="AF47" s="184">
        <f t="shared" si="13"/>
        <v>0</v>
      </c>
      <c r="AG47" s="184">
        <f t="shared" si="13"/>
        <v>0</v>
      </c>
      <c r="AH47" s="184">
        <f t="shared" si="13"/>
        <v>0</v>
      </c>
      <c r="AI47" s="184">
        <f t="shared" si="13"/>
        <v>0</v>
      </c>
      <c r="AJ47" s="184">
        <f t="shared" si="13"/>
        <v>0</v>
      </c>
      <c r="AK47" s="184">
        <f t="shared" si="13"/>
        <v>0</v>
      </c>
      <c r="AL47" s="184">
        <f t="shared" si="13"/>
        <v>0</v>
      </c>
      <c r="AM47" s="184">
        <f t="shared" si="13"/>
        <v>0</v>
      </c>
      <c r="AN47" s="184">
        <f t="shared" si="13"/>
        <v>0</v>
      </c>
      <c r="AO47" s="184">
        <f t="shared" si="13"/>
        <v>0</v>
      </c>
      <c r="AP47" s="184">
        <f t="shared" si="13"/>
        <v>0</v>
      </c>
      <c r="AQ47" s="184">
        <f t="shared" si="13"/>
        <v>0</v>
      </c>
      <c r="AR47" s="177" t="s">
        <v>49</v>
      </c>
      <c r="AS47" s="153">
        <f t="shared" si="10"/>
        <v>0</v>
      </c>
      <c r="AT47" s="153"/>
      <c r="AU47" s="153"/>
      <c r="AV47" s="153"/>
      <c r="AX47" s="172"/>
      <c r="AY47" s="172"/>
      <c r="AZ47" s="172"/>
      <c r="BB47" s="182"/>
      <c r="BC47" s="182"/>
      <c r="BD47" s="182"/>
    </row>
    <row r="48" spans="2:56" s="126" customFormat="1" ht="12">
      <c r="B48" s="12" t="s">
        <v>67</v>
      </c>
      <c r="C48" s="184"/>
      <c r="D48" s="184">
        <f>D129</f>
        <v>0</v>
      </c>
      <c r="E48" s="184">
        <f aca="true" t="shared" si="14" ref="E48:AQ48">E129</f>
        <v>0</v>
      </c>
      <c r="F48" s="184">
        <f t="shared" si="14"/>
        <v>0</v>
      </c>
      <c r="G48" s="184">
        <f t="shared" si="14"/>
        <v>0</v>
      </c>
      <c r="H48" s="184">
        <f t="shared" si="14"/>
        <v>0</v>
      </c>
      <c r="I48" s="184">
        <f t="shared" si="14"/>
        <v>0</v>
      </c>
      <c r="J48" s="184">
        <f t="shared" si="14"/>
        <v>0</v>
      </c>
      <c r="K48" s="184">
        <f t="shared" si="14"/>
        <v>0</v>
      </c>
      <c r="L48" s="184">
        <f t="shared" si="14"/>
        <v>0</v>
      </c>
      <c r="M48" s="184">
        <f t="shared" si="14"/>
        <v>0</v>
      </c>
      <c r="N48" s="184">
        <f t="shared" si="14"/>
        <v>0</v>
      </c>
      <c r="O48" s="184">
        <f t="shared" si="14"/>
        <v>0</v>
      </c>
      <c r="P48" s="184">
        <f t="shared" si="14"/>
        <v>0</v>
      </c>
      <c r="Q48" s="184">
        <f t="shared" si="14"/>
        <v>0</v>
      </c>
      <c r="R48" s="184">
        <f t="shared" si="14"/>
        <v>0</v>
      </c>
      <c r="S48" s="184">
        <f t="shared" si="14"/>
        <v>0</v>
      </c>
      <c r="T48" s="184">
        <f t="shared" si="14"/>
        <v>0</v>
      </c>
      <c r="U48" s="184">
        <f t="shared" si="14"/>
        <v>0</v>
      </c>
      <c r="V48" s="184">
        <f t="shared" si="14"/>
        <v>0</v>
      </c>
      <c r="W48" s="184">
        <f t="shared" si="14"/>
        <v>0</v>
      </c>
      <c r="X48" s="184">
        <f t="shared" si="14"/>
        <v>0</v>
      </c>
      <c r="Y48" s="184">
        <f t="shared" si="14"/>
        <v>0</v>
      </c>
      <c r="Z48" s="184">
        <f t="shared" si="14"/>
        <v>0</v>
      </c>
      <c r="AA48" s="184">
        <f t="shared" si="14"/>
        <v>0</v>
      </c>
      <c r="AB48" s="184">
        <f t="shared" si="14"/>
        <v>0</v>
      </c>
      <c r="AC48" s="184">
        <f t="shared" si="14"/>
        <v>0</v>
      </c>
      <c r="AD48" s="184">
        <f t="shared" si="14"/>
        <v>0</v>
      </c>
      <c r="AE48" s="184">
        <f t="shared" si="14"/>
        <v>0</v>
      </c>
      <c r="AF48" s="184">
        <f t="shared" si="14"/>
        <v>0</v>
      </c>
      <c r="AG48" s="184">
        <f t="shared" si="14"/>
        <v>0</v>
      </c>
      <c r="AH48" s="184">
        <f t="shared" si="14"/>
        <v>0</v>
      </c>
      <c r="AI48" s="184">
        <f t="shared" si="14"/>
        <v>0</v>
      </c>
      <c r="AJ48" s="184">
        <f t="shared" si="14"/>
        <v>0</v>
      </c>
      <c r="AK48" s="184">
        <f t="shared" si="14"/>
        <v>0</v>
      </c>
      <c r="AL48" s="184">
        <f t="shared" si="14"/>
        <v>0</v>
      </c>
      <c r="AM48" s="184">
        <f t="shared" si="14"/>
        <v>0</v>
      </c>
      <c r="AN48" s="184">
        <f t="shared" si="14"/>
        <v>0</v>
      </c>
      <c r="AO48" s="184">
        <f t="shared" si="14"/>
        <v>0</v>
      </c>
      <c r="AP48" s="184">
        <f t="shared" si="14"/>
        <v>0</v>
      </c>
      <c r="AQ48" s="184">
        <f t="shared" si="14"/>
        <v>0</v>
      </c>
      <c r="AR48" s="177" t="s">
        <v>67</v>
      </c>
      <c r="AS48" s="153">
        <f t="shared" si="10"/>
        <v>0</v>
      </c>
      <c r="AT48" s="153"/>
      <c r="AU48" s="153"/>
      <c r="AV48" s="153"/>
      <c r="AX48" s="172"/>
      <c r="AY48" s="172"/>
      <c r="AZ48" s="172"/>
      <c r="BB48" s="182"/>
      <c r="BC48" s="182"/>
      <c r="BD48" s="182"/>
    </row>
    <row r="49" spans="2:56" s="15" customFormat="1" ht="12">
      <c r="B49" s="7" t="s">
        <v>76</v>
      </c>
      <c r="C49" s="24"/>
      <c r="D49" s="24">
        <f aca="true" t="shared" si="15" ref="D49:AQ49">D45+D46+D47+D48</f>
        <v>-57709.13600391359</v>
      </c>
      <c r="E49" s="24">
        <f t="shared" si="15"/>
        <v>-57709.13600391359</v>
      </c>
      <c r="F49" s="24">
        <f t="shared" si="15"/>
        <v>-57709.13600391359</v>
      </c>
      <c r="G49" s="24">
        <f t="shared" si="15"/>
        <v>-57709.13600391359</v>
      </c>
      <c r="H49" s="24">
        <f t="shared" si="15"/>
        <v>-57709.13600391359</v>
      </c>
      <c r="I49" s="24">
        <f t="shared" si="15"/>
        <v>-57709.13600391359</v>
      </c>
      <c r="J49" s="24">
        <f t="shared" si="15"/>
        <v>-57709.13600391359</v>
      </c>
      <c r="K49" s="24">
        <f t="shared" si="15"/>
        <v>-57709.13600391359</v>
      </c>
      <c r="L49" s="24">
        <f t="shared" si="15"/>
        <v>-57709.13600391359</v>
      </c>
      <c r="M49" s="24">
        <f t="shared" si="15"/>
        <v>-57709.13600391359</v>
      </c>
      <c r="N49" s="24">
        <f t="shared" si="15"/>
        <v>-57709.13600391359</v>
      </c>
      <c r="O49" s="24">
        <f t="shared" si="15"/>
        <v>-57709.13600391359</v>
      </c>
      <c r="P49" s="24">
        <f t="shared" si="15"/>
        <v>-57709.13600391359</v>
      </c>
      <c r="Q49" s="24">
        <f t="shared" si="15"/>
        <v>-57709.13600391359</v>
      </c>
      <c r="R49" s="24">
        <f t="shared" si="15"/>
        <v>-57709.13600391359</v>
      </c>
      <c r="S49" s="24">
        <f t="shared" si="15"/>
        <v>-57709.13600391359</v>
      </c>
      <c r="T49" s="24">
        <f t="shared" si="15"/>
        <v>-57709.13600391359</v>
      </c>
      <c r="U49" s="24">
        <f t="shared" si="15"/>
        <v>-57709.13600391359</v>
      </c>
      <c r="V49" s="24">
        <f t="shared" si="15"/>
        <v>-57709.13600391359</v>
      </c>
      <c r="W49" s="24">
        <f t="shared" si="15"/>
        <v>-57709.13600391359</v>
      </c>
      <c r="X49" s="24">
        <f t="shared" si="15"/>
        <v>0</v>
      </c>
      <c r="Y49" s="24">
        <f t="shared" si="15"/>
        <v>0</v>
      </c>
      <c r="Z49" s="24">
        <f t="shared" si="15"/>
        <v>0</v>
      </c>
      <c r="AA49" s="24">
        <f t="shared" si="15"/>
        <v>0</v>
      </c>
      <c r="AB49" s="24">
        <f t="shared" si="15"/>
        <v>0</v>
      </c>
      <c r="AC49" s="24">
        <f t="shared" si="15"/>
        <v>0</v>
      </c>
      <c r="AD49" s="24">
        <f t="shared" si="15"/>
        <v>0</v>
      </c>
      <c r="AE49" s="24">
        <f t="shared" si="15"/>
        <v>0</v>
      </c>
      <c r="AF49" s="24">
        <f t="shared" si="15"/>
        <v>0</v>
      </c>
      <c r="AG49" s="24">
        <f t="shared" si="15"/>
        <v>0</v>
      </c>
      <c r="AH49" s="24">
        <f t="shared" si="15"/>
        <v>0</v>
      </c>
      <c r="AI49" s="24">
        <f t="shared" si="15"/>
        <v>0</v>
      </c>
      <c r="AJ49" s="24">
        <f t="shared" si="15"/>
        <v>0</v>
      </c>
      <c r="AK49" s="24">
        <f t="shared" si="15"/>
        <v>0</v>
      </c>
      <c r="AL49" s="24">
        <f t="shared" si="15"/>
        <v>0</v>
      </c>
      <c r="AM49" s="24">
        <f t="shared" si="15"/>
        <v>0</v>
      </c>
      <c r="AN49" s="24">
        <f t="shared" si="15"/>
        <v>0</v>
      </c>
      <c r="AO49" s="24">
        <f t="shared" si="15"/>
        <v>0</v>
      </c>
      <c r="AP49" s="24">
        <f t="shared" si="15"/>
        <v>0</v>
      </c>
      <c r="AQ49" s="24">
        <f t="shared" si="15"/>
        <v>0</v>
      </c>
      <c r="AR49" s="31" t="s">
        <v>76</v>
      </c>
      <c r="AS49" s="153">
        <f t="shared" si="10"/>
        <v>-81.0975343057375</v>
      </c>
      <c r="AT49" s="153"/>
      <c r="AU49" s="153"/>
      <c r="AV49" s="153"/>
      <c r="AX49" s="172"/>
      <c r="AY49" s="172"/>
      <c r="AZ49" s="172"/>
      <c r="BB49" s="182"/>
      <c r="BC49" s="182"/>
      <c r="BD49" s="182"/>
    </row>
    <row r="50" spans="3:56" s="32" customFormat="1" ht="1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86"/>
      <c r="AS50" s="153"/>
      <c r="AT50" s="153"/>
      <c r="AU50" s="153"/>
      <c r="AV50" s="153"/>
      <c r="AX50" s="172"/>
      <c r="AY50" s="172"/>
      <c r="AZ50" s="172"/>
      <c r="BB50" s="182"/>
      <c r="BC50" s="182"/>
      <c r="BD50" s="182"/>
    </row>
    <row r="51" spans="2:56" s="126" customFormat="1" ht="12">
      <c r="B51" s="12" t="s">
        <v>115</v>
      </c>
      <c r="C51" s="175"/>
      <c r="D51" s="175">
        <f>D67</f>
        <v>21846.722004310344</v>
      </c>
      <c r="E51" s="175">
        <f aca="true" t="shared" si="16" ref="E51:AQ51">E67</f>
        <v>33811.863837191</v>
      </c>
      <c r="F51" s="175">
        <f t="shared" si="16"/>
        <v>20921.43096407653</v>
      </c>
      <c r="G51" s="175">
        <f t="shared" si="16"/>
        <v>13159.45134155473</v>
      </c>
      <c r="H51" s="175">
        <f t="shared" si="16"/>
        <v>13091.31079068378</v>
      </c>
      <c r="I51" s="175">
        <f t="shared" si="16"/>
        <v>7248.099721226268</v>
      </c>
      <c r="J51" s="175">
        <f t="shared" si="16"/>
        <v>1402.0540048525258</v>
      </c>
      <c r="K51" s="175">
        <f t="shared" si="16"/>
        <v>1325.4051522376253</v>
      </c>
      <c r="L51" s="175">
        <f t="shared" si="16"/>
        <v>1245.690345518129</v>
      </c>
      <c r="M51" s="175">
        <f t="shared" si="16"/>
        <v>1162.7869465298531</v>
      </c>
      <c r="N51" s="175">
        <f t="shared" si="16"/>
        <v>1076.567411582046</v>
      </c>
      <c r="O51" s="175">
        <f t="shared" si="16"/>
        <v>986.8990952363266</v>
      </c>
      <c r="P51" s="175">
        <f t="shared" si="16"/>
        <v>893.6440462367783</v>
      </c>
      <c r="Q51" s="175">
        <f t="shared" si="16"/>
        <v>796.6587952772484</v>
      </c>
      <c r="R51" s="175">
        <f t="shared" si="16"/>
        <v>695.7941342793368</v>
      </c>
      <c r="S51" s="175">
        <f t="shared" si="16"/>
        <v>590.8948868415092</v>
      </c>
      <c r="T51" s="175">
        <f t="shared" si="16"/>
        <v>481.79966950616824</v>
      </c>
      <c r="U51" s="175">
        <f t="shared" si="16"/>
        <v>368.34064347741366</v>
      </c>
      <c r="V51" s="175">
        <f t="shared" si="16"/>
        <v>250.3432564075089</v>
      </c>
      <c r="W51" s="175">
        <f t="shared" si="16"/>
        <v>127.62597385480801</v>
      </c>
      <c r="X51" s="175">
        <f t="shared" si="16"/>
        <v>0</v>
      </c>
      <c r="Y51" s="175">
        <f t="shared" si="16"/>
        <v>0</v>
      </c>
      <c r="Z51" s="175">
        <f t="shared" si="16"/>
        <v>0</v>
      </c>
      <c r="AA51" s="175">
        <f t="shared" si="16"/>
        <v>0</v>
      </c>
      <c r="AB51" s="175">
        <f t="shared" si="16"/>
        <v>0</v>
      </c>
      <c r="AC51" s="175">
        <f t="shared" si="16"/>
        <v>0</v>
      </c>
      <c r="AD51" s="175">
        <f t="shared" si="16"/>
        <v>0</v>
      </c>
      <c r="AE51" s="175">
        <f t="shared" si="16"/>
        <v>0</v>
      </c>
      <c r="AF51" s="175">
        <f t="shared" si="16"/>
        <v>0</v>
      </c>
      <c r="AG51" s="175">
        <f t="shared" si="16"/>
        <v>0</v>
      </c>
      <c r="AH51" s="175">
        <f t="shared" si="16"/>
        <v>0</v>
      </c>
      <c r="AI51" s="175">
        <f t="shared" si="16"/>
        <v>0</v>
      </c>
      <c r="AJ51" s="175">
        <f t="shared" si="16"/>
        <v>0</v>
      </c>
      <c r="AK51" s="175">
        <f t="shared" si="16"/>
        <v>0</v>
      </c>
      <c r="AL51" s="175">
        <f t="shared" si="16"/>
        <v>0</v>
      </c>
      <c r="AM51" s="175">
        <f t="shared" si="16"/>
        <v>0</v>
      </c>
      <c r="AN51" s="175">
        <f t="shared" si="16"/>
        <v>0</v>
      </c>
      <c r="AO51" s="175">
        <f t="shared" si="16"/>
        <v>0</v>
      </c>
      <c r="AP51" s="175">
        <f t="shared" si="16"/>
        <v>0</v>
      </c>
      <c r="AQ51" s="175">
        <f t="shared" si="16"/>
        <v>0</v>
      </c>
      <c r="AR51" s="177" t="s">
        <v>115</v>
      </c>
      <c r="AS51" s="153">
        <f>-PMT($H$20,$C$17,NPV($H$20,$D51:$AQ51)+$C51)/AS$33</f>
        <v>15.092662034927484</v>
      </c>
      <c r="AT51" s="153"/>
      <c r="AU51" s="153"/>
      <c r="AV51" s="153"/>
      <c r="AX51" s="172"/>
      <c r="AY51" s="172"/>
      <c r="AZ51" s="172"/>
      <c r="BB51" s="182"/>
      <c r="BC51" s="182"/>
      <c r="BD51" s="182"/>
    </row>
    <row r="52" spans="2:56" ht="12">
      <c r="B52" s="12" t="s">
        <v>114</v>
      </c>
      <c r="C52" s="175"/>
      <c r="D52" s="175">
        <f>D78+D77</f>
        <v>499176.6835053878</v>
      </c>
      <c r="E52" s="175">
        <f aca="true" t="shared" si="17" ref="E52:AQ52">E78+E77</f>
        <v>164697.1824081007</v>
      </c>
      <c r="F52" s="175">
        <f t="shared" si="17"/>
        <v>102457.33360657727</v>
      </c>
      <c r="G52" s="175">
        <f t="shared" si="17"/>
        <v>64954.39647230322</v>
      </c>
      <c r="H52" s="175">
        <f t="shared" si="17"/>
        <v>64563.47709458923</v>
      </c>
      <c r="I52" s="175">
        <f t="shared" si="17"/>
        <v>36311.63110383564</v>
      </c>
      <c r="J52" s="175">
        <f t="shared" si="17"/>
        <v>8043.522866969163</v>
      </c>
      <c r="K52" s="175">
        <f t="shared" si="17"/>
        <v>7603.791732076289</v>
      </c>
      <c r="L52" s="175">
        <f t="shared" si="17"/>
        <v>7146.471351787701</v>
      </c>
      <c r="M52" s="175">
        <f t="shared" si="17"/>
        <v>6670.85815628757</v>
      </c>
      <c r="N52" s="175">
        <f t="shared" si="17"/>
        <v>6176.220432967432</v>
      </c>
      <c r="O52" s="175">
        <f t="shared" si="17"/>
        <v>5661.79720071449</v>
      </c>
      <c r="P52" s="175">
        <f t="shared" si="17"/>
        <v>5126.79703917143</v>
      </c>
      <c r="Q52" s="175">
        <f t="shared" si="17"/>
        <v>4570.396871166648</v>
      </c>
      <c r="R52" s="175">
        <f t="shared" si="17"/>
        <v>3991.7406964416737</v>
      </c>
      <c r="S52" s="175">
        <f t="shared" si="17"/>
        <v>3389.938274727701</v>
      </c>
      <c r="T52" s="175">
        <f t="shared" si="17"/>
        <v>2764.063756145169</v>
      </c>
      <c r="U52" s="175">
        <f t="shared" si="17"/>
        <v>2113.154256819336</v>
      </c>
      <c r="V52" s="175">
        <f t="shared" si="17"/>
        <v>1436.2083775204694</v>
      </c>
      <c r="W52" s="175">
        <f t="shared" si="17"/>
        <v>732.1846630496485</v>
      </c>
      <c r="X52" s="175">
        <f t="shared" si="17"/>
        <v>0</v>
      </c>
      <c r="Y52" s="175">
        <f t="shared" si="17"/>
        <v>0</v>
      </c>
      <c r="Z52" s="175">
        <f t="shared" si="17"/>
        <v>0</v>
      </c>
      <c r="AA52" s="175">
        <f t="shared" si="17"/>
        <v>0</v>
      </c>
      <c r="AB52" s="175">
        <f t="shared" si="17"/>
        <v>0</v>
      </c>
      <c r="AC52" s="175">
        <f t="shared" si="17"/>
        <v>0</v>
      </c>
      <c r="AD52" s="175">
        <f t="shared" si="17"/>
        <v>0</v>
      </c>
      <c r="AE52" s="175">
        <f t="shared" si="17"/>
        <v>0</v>
      </c>
      <c r="AF52" s="175">
        <f t="shared" si="17"/>
        <v>0</v>
      </c>
      <c r="AG52" s="175">
        <f t="shared" si="17"/>
        <v>0</v>
      </c>
      <c r="AH52" s="175">
        <f t="shared" si="17"/>
        <v>0</v>
      </c>
      <c r="AI52" s="175">
        <f t="shared" si="17"/>
        <v>0</v>
      </c>
      <c r="AJ52" s="175">
        <f t="shared" si="17"/>
        <v>0</v>
      </c>
      <c r="AK52" s="175">
        <f t="shared" si="17"/>
        <v>0</v>
      </c>
      <c r="AL52" s="175">
        <f t="shared" si="17"/>
        <v>0</v>
      </c>
      <c r="AM52" s="175">
        <f t="shared" si="17"/>
        <v>0</v>
      </c>
      <c r="AN52" s="175">
        <f t="shared" si="17"/>
        <v>0</v>
      </c>
      <c r="AO52" s="175">
        <f t="shared" si="17"/>
        <v>0</v>
      </c>
      <c r="AP52" s="175">
        <f t="shared" si="17"/>
        <v>0</v>
      </c>
      <c r="AQ52" s="175">
        <f t="shared" si="17"/>
        <v>0</v>
      </c>
      <c r="AR52" s="177" t="s">
        <v>114</v>
      </c>
      <c r="AS52" s="153">
        <f>-PMT($H$20,$C$17,NPV($H$20,$D52:$AQ52)+$C52)/AS$33</f>
        <v>135.98373401782038</v>
      </c>
      <c r="AT52" s="153"/>
      <c r="AU52" s="153"/>
      <c r="AV52" s="153"/>
      <c r="AX52" s="172"/>
      <c r="AY52" s="172"/>
      <c r="AZ52" s="172"/>
      <c r="BB52" s="182"/>
      <c r="BC52" s="182"/>
      <c r="BD52" s="182"/>
    </row>
    <row r="53" spans="2:56" ht="12">
      <c r="B53" s="9" t="s">
        <v>81</v>
      </c>
      <c r="C53" s="23"/>
      <c r="D53" s="23">
        <f>D79</f>
        <v>521023.40550969815</v>
      </c>
      <c r="E53" s="23">
        <f aca="true" t="shared" si="18" ref="E53:AQ53">E79</f>
        <v>198509.04624529168</v>
      </c>
      <c r="F53" s="23">
        <f t="shared" si="18"/>
        <v>123378.7645706538</v>
      </c>
      <c r="G53" s="23">
        <f t="shared" si="18"/>
        <v>78113.84781385795</v>
      </c>
      <c r="H53" s="23">
        <f t="shared" si="18"/>
        <v>77654.787885273</v>
      </c>
      <c r="I53" s="23">
        <f t="shared" si="18"/>
        <v>43559.73082506191</v>
      </c>
      <c r="J53" s="23">
        <f t="shared" si="18"/>
        <v>9445.57687182169</v>
      </c>
      <c r="K53" s="23">
        <f t="shared" si="18"/>
        <v>8929.196884313915</v>
      </c>
      <c r="L53" s="23">
        <f t="shared" si="18"/>
        <v>8392.16169730583</v>
      </c>
      <c r="M53" s="23">
        <f t="shared" si="18"/>
        <v>7833.645102817423</v>
      </c>
      <c r="N53" s="23">
        <f t="shared" si="18"/>
        <v>7252.787844549478</v>
      </c>
      <c r="O53" s="23">
        <f t="shared" si="18"/>
        <v>6648.696295950816</v>
      </c>
      <c r="P53" s="23">
        <f t="shared" si="18"/>
        <v>6020.441085408208</v>
      </c>
      <c r="Q53" s="23">
        <f t="shared" si="18"/>
        <v>5367.055666443897</v>
      </c>
      <c r="R53" s="23">
        <f t="shared" si="18"/>
        <v>4687.534830721011</v>
      </c>
      <c r="S53" s="23">
        <f t="shared" si="18"/>
        <v>3980.83316156921</v>
      </c>
      <c r="T53" s="23">
        <f t="shared" si="18"/>
        <v>3245.8634256513374</v>
      </c>
      <c r="U53" s="23">
        <f t="shared" si="18"/>
        <v>2481.4949002967496</v>
      </c>
      <c r="V53" s="23">
        <f t="shared" si="18"/>
        <v>1686.5516339279784</v>
      </c>
      <c r="W53" s="23">
        <f t="shared" si="18"/>
        <v>859.8106369044565</v>
      </c>
      <c r="X53" s="23">
        <f t="shared" si="18"/>
        <v>0</v>
      </c>
      <c r="Y53" s="23">
        <f t="shared" si="18"/>
        <v>0</v>
      </c>
      <c r="Z53" s="23">
        <f t="shared" si="18"/>
        <v>0</v>
      </c>
      <c r="AA53" s="23">
        <f t="shared" si="18"/>
        <v>0</v>
      </c>
      <c r="AB53" s="23">
        <f t="shared" si="18"/>
        <v>0</v>
      </c>
      <c r="AC53" s="23">
        <f t="shared" si="18"/>
        <v>0</v>
      </c>
      <c r="AD53" s="23">
        <f t="shared" si="18"/>
        <v>0</v>
      </c>
      <c r="AE53" s="23">
        <f t="shared" si="18"/>
        <v>0</v>
      </c>
      <c r="AF53" s="23">
        <f t="shared" si="18"/>
        <v>0</v>
      </c>
      <c r="AG53" s="23">
        <f t="shared" si="18"/>
        <v>0</v>
      </c>
      <c r="AH53" s="23">
        <f t="shared" si="18"/>
        <v>0</v>
      </c>
      <c r="AI53" s="23">
        <f t="shared" si="18"/>
        <v>0</v>
      </c>
      <c r="AJ53" s="23">
        <f t="shared" si="18"/>
        <v>0</v>
      </c>
      <c r="AK53" s="23">
        <f t="shared" si="18"/>
        <v>0</v>
      </c>
      <c r="AL53" s="23">
        <f t="shared" si="18"/>
        <v>0</v>
      </c>
      <c r="AM53" s="23">
        <f t="shared" si="18"/>
        <v>0</v>
      </c>
      <c r="AN53" s="23">
        <f t="shared" si="18"/>
        <v>0</v>
      </c>
      <c r="AO53" s="23">
        <f t="shared" si="18"/>
        <v>0</v>
      </c>
      <c r="AP53" s="23">
        <f t="shared" si="18"/>
        <v>0</v>
      </c>
      <c r="AQ53" s="23">
        <f t="shared" si="18"/>
        <v>0</v>
      </c>
      <c r="AR53" s="21" t="s">
        <v>81</v>
      </c>
      <c r="AS53" s="153">
        <f>-PMT($H$20,$C$17,NPV($H$20,$D53:$AQ53)+$C53)/AS$33</f>
        <v>151.07639605274787</v>
      </c>
      <c r="AT53" s="153"/>
      <c r="AU53" s="153"/>
      <c r="AV53" s="153"/>
      <c r="AX53" s="172"/>
      <c r="AY53" s="172"/>
      <c r="AZ53" s="172"/>
      <c r="BB53" s="182"/>
      <c r="BC53" s="182"/>
      <c r="BD53" s="182"/>
    </row>
    <row r="54" spans="2:56" s="1" customFormat="1" ht="12">
      <c r="B54" s="33"/>
      <c r="C54" s="33"/>
      <c r="D54" s="33"/>
      <c r="E54" s="187"/>
      <c r="F54" s="12"/>
      <c r="G54" s="12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180"/>
      <c r="AS54" s="153"/>
      <c r="AT54" s="153"/>
      <c r="AU54" s="153"/>
      <c r="AV54" s="153"/>
      <c r="AX54" s="172"/>
      <c r="AY54" s="172"/>
      <c r="AZ54" s="172"/>
      <c r="BB54" s="182"/>
      <c r="BC54" s="182"/>
      <c r="BD54" s="182"/>
    </row>
    <row r="55" spans="2:56" ht="12">
      <c r="B55" s="12" t="s">
        <v>77</v>
      </c>
      <c r="C55" s="184">
        <f>-H25</f>
        <v>-958571.7672413792</v>
      </c>
      <c r="D55" s="33"/>
      <c r="E55" s="179"/>
      <c r="F55" s="175"/>
      <c r="G55" s="175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7" t="s">
        <v>77</v>
      </c>
      <c r="AS55" s="153">
        <f>-PMT($H$20,$C$17,NPV($H$20,$D55:$AQ55)+$C55)/AS$33</f>
        <v>-166.4005731598536</v>
      </c>
      <c r="AT55" s="153"/>
      <c r="AU55" s="153"/>
      <c r="AV55" s="153"/>
      <c r="AX55" s="172"/>
      <c r="AY55" s="172"/>
      <c r="AZ55" s="172"/>
      <c r="BB55" s="182"/>
      <c r="BC55" s="182"/>
      <c r="BD55" s="182"/>
    </row>
    <row r="56" spans="2:56" ht="12">
      <c r="B56" s="12"/>
      <c r="C56" s="184"/>
      <c r="D56" s="33"/>
      <c r="E56" s="179"/>
      <c r="F56" s="175"/>
      <c r="G56" s="175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7"/>
      <c r="AS56" s="153"/>
      <c r="AT56" s="153"/>
      <c r="AU56" s="153"/>
      <c r="AV56" s="153"/>
      <c r="AX56" s="172"/>
      <c r="AY56" s="172"/>
      <c r="AZ56" s="172"/>
      <c r="BB56" s="182"/>
      <c r="BC56" s="182"/>
      <c r="BD56" s="182"/>
    </row>
    <row r="57" spans="2:56" ht="12.75" thickBot="1">
      <c r="B57" s="188" t="s">
        <v>78</v>
      </c>
      <c r="C57" s="189">
        <f>C37+C42+C49+C55+C52</f>
        <v>-958571.7672413792</v>
      </c>
      <c r="D57" s="189">
        <f aca="true" t="shared" si="19" ref="D57:AQ57">D37+D42+D49+D53</f>
        <v>544688.5936288494</v>
      </c>
      <c r="E57" s="189">
        <f t="shared" si="19"/>
        <v>221763.15467874365</v>
      </c>
      <c r="F57" s="189">
        <f t="shared" si="19"/>
        <v>146214.02401961794</v>
      </c>
      <c r="G57" s="189">
        <f t="shared" si="19"/>
        <v>100522.22773943447</v>
      </c>
      <c r="H57" s="189">
        <f t="shared" si="19"/>
        <v>99627.99195014313</v>
      </c>
      <c r="I57" s="189">
        <f t="shared" si="19"/>
        <v>-6686.061916031358</v>
      </c>
      <c r="J57" s="189">
        <f t="shared" si="19"/>
        <v>-40750.37373615506</v>
      </c>
      <c r="K57" s="189">
        <f t="shared" si="19"/>
        <v>-41229.55063039725</v>
      </c>
      <c r="L57" s="189">
        <f t="shared" si="19"/>
        <v>-41742.28215629293</v>
      </c>
      <c r="M57" s="189">
        <f t="shared" si="19"/>
        <v>-42289.66014427222</v>
      </c>
      <c r="N57" s="189">
        <f t="shared" si="19"/>
        <v>-48391.864376865946</v>
      </c>
      <c r="O57" s="189">
        <f t="shared" si="19"/>
        <v>-49011.9657415383</v>
      </c>
      <c r="P57" s="189">
        <f t="shared" si="19"/>
        <v>-49670.22512818725</v>
      </c>
      <c r="Q57" s="189">
        <f t="shared" si="19"/>
        <v>-50367.89669416042</v>
      </c>
      <c r="R57" s="189">
        <f t="shared" si="19"/>
        <v>-51106.27903351227</v>
      </c>
      <c r="S57" s="189">
        <f t="shared" si="19"/>
        <v>-51886.71683904176</v>
      </c>
      <c r="T57" s="189">
        <f t="shared" si="19"/>
        <v>-52710.602628500375</v>
      </c>
      <c r="U57" s="189">
        <f t="shared" si="19"/>
        <v>-53579.37853749125</v>
      </c>
      <c r="V57" s="189">
        <f t="shared" si="19"/>
        <v>-54494.53818167973</v>
      </c>
      <c r="W57" s="189">
        <f t="shared" si="19"/>
        <v>-55457.62859103992</v>
      </c>
      <c r="X57" s="189">
        <f t="shared" si="19"/>
        <v>0</v>
      </c>
      <c r="Y57" s="189">
        <f t="shared" si="19"/>
        <v>0</v>
      </c>
      <c r="Z57" s="189">
        <f t="shared" si="19"/>
        <v>0</v>
      </c>
      <c r="AA57" s="189">
        <f t="shared" si="19"/>
        <v>0</v>
      </c>
      <c r="AB57" s="189">
        <f t="shared" si="19"/>
        <v>0</v>
      </c>
      <c r="AC57" s="189">
        <f t="shared" si="19"/>
        <v>0</v>
      </c>
      <c r="AD57" s="189">
        <f t="shared" si="19"/>
        <v>0</v>
      </c>
      <c r="AE57" s="189">
        <f t="shared" si="19"/>
        <v>0</v>
      </c>
      <c r="AF57" s="189">
        <f t="shared" si="19"/>
        <v>0</v>
      </c>
      <c r="AG57" s="189">
        <f t="shared" si="19"/>
        <v>0</v>
      </c>
      <c r="AH57" s="189">
        <f t="shared" si="19"/>
        <v>0</v>
      </c>
      <c r="AI57" s="189">
        <f t="shared" si="19"/>
        <v>0</v>
      </c>
      <c r="AJ57" s="189">
        <f t="shared" si="19"/>
        <v>0</v>
      </c>
      <c r="AK57" s="189">
        <f t="shared" si="19"/>
        <v>0</v>
      </c>
      <c r="AL57" s="189">
        <f t="shared" si="19"/>
        <v>0</v>
      </c>
      <c r="AM57" s="189">
        <f t="shared" si="19"/>
        <v>0</v>
      </c>
      <c r="AN57" s="189">
        <f t="shared" si="19"/>
        <v>0</v>
      </c>
      <c r="AO57" s="189">
        <f t="shared" si="19"/>
        <v>0</v>
      </c>
      <c r="AP57" s="189">
        <f t="shared" si="19"/>
        <v>0</v>
      </c>
      <c r="AQ57" s="189">
        <f t="shared" si="19"/>
        <v>0</v>
      </c>
      <c r="AR57" s="190" t="s">
        <v>78</v>
      </c>
      <c r="AS57" s="178">
        <f>-PMT($H$20,$C$17,NPV($H$20,D57:AQ57)+C57)/$AS$33</f>
        <v>-40.75201938369582</v>
      </c>
      <c r="AT57" s="178"/>
      <c r="AU57" s="153"/>
      <c r="AV57" s="153"/>
      <c r="AX57" s="172"/>
      <c r="AY57" s="172"/>
      <c r="AZ57" s="172"/>
      <c r="BB57" s="182"/>
      <c r="BC57" s="182"/>
      <c r="BD57" s="182"/>
    </row>
    <row r="58" spans="2:59" ht="12.75" thickTop="1">
      <c r="B58" s="191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21"/>
      <c r="AS58" s="193"/>
      <c r="AT58" s="153"/>
      <c r="AU58" s="153"/>
      <c r="AV58" s="126"/>
      <c r="AW58" s="193"/>
      <c r="AX58" s="153"/>
      <c r="AY58" s="153"/>
      <c r="AZ58" s="126"/>
      <c r="BA58" s="194"/>
      <c r="BB58" s="194"/>
      <c r="BC58" s="194"/>
      <c r="BD58" s="126"/>
      <c r="BE58" s="195"/>
      <c r="BF58" s="195"/>
      <c r="BG58" s="182"/>
    </row>
    <row r="59" spans="2:58" ht="12">
      <c r="B59" s="196" t="s">
        <v>94</v>
      </c>
      <c r="C59" s="197">
        <v>0</v>
      </c>
      <c r="D59" s="197">
        <v>1</v>
      </c>
      <c r="E59" s="197">
        <v>2</v>
      </c>
      <c r="F59" s="197">
        <v>3</v>
      </c>
      <c r="G59" s="197">
        <v>4</v>
      </c>
      <c r="H59" s="197">
        <v>5</v>
      </c>
      <c r="I59" s="197">
        <v>6</v>
      </c>
      <c r="J59" s="197">
        <v>7</v>
      </c>
      <c r="K59" s="197">
        <v>8</v>
      </c>
      <c r="L59" s="197">
        <v>9</v>
      </c>
      <c r="M59" s="197">
        <v>10</v>
      </c>
      <c r="N59" s="197">
        <v>11</v>
      </c>
      <c r="O59" s="197">
        <v>12</v>
      </c>
      <c r="P59" s="197">
        <v>13</v>
      </c>
      <c r="Q59" s="197">
        <v>14</v>
      </c>
      <c r="R59" s="197">
        <v>15</v>
      </c>
      <c r="S59" s="197">
        <v>16</v>
      </c>
      <c r="T59" s="197">
        <v>17</v>
      </c>
      <c r="U59" s="197">
        <v>18</v>
      </c>
      <c r="V59" s="197">
        <v>19</v>
      </c>
      <c r="W59" s="197">
        <v>20</v>
      </c>
      <c r="X59" s="197">
        <v>21</v>
      </c>
      <c r="Y59" s="197">
        <v>22</v>
      </c>
      <c r="Z59" s="197">
        <v>23</v>
      </c>
      <c r="AA59" s="197">
        <v>24</v>
      </c>
      <c r="AB59" s="197">
        <v>25</v>
      </c>
      <c r="AC59" s="197">
        <v>26</v>
      </c>
      <c r="AD59" s="197">
        <v>27</v>
      </c>
      <c r="AE59" s="197">
        <v>28</v>
      </c>
      <c r="AF59" s="197">
        <v>29</v>
      </c>
      <c r="AG59" s="197">
        <v>30</v>
      </c>
      <c r="AH59" s="197">
        <v>31</v>
      </c>
      <c r="AI59" s="197">
        <v>32</v>
      </c>
      <c r="AJ59" s="197">
        <v>33</v>
      </c>
      <c r="AK59" s="197">
        <v>34</v>
      </c>
      <c r="AL59" s="197">
        <v>35</v>
      </c>
      <c r="AM59" s="197">
        <v>36</v>
      </c>
      <c r="AN59" s="197">
        <v>37</v>
      </c>
      <c r="AO59" s="197">
        <v>38</v>
      </c>
      <c r="AP59" s="197">
        <v>39</v>
      </c>
      <c r="AQ59" s="197">
        <v>40</v>
      </c>
      <c r="AR59" s="21"/>
      <c r="AS59" s="35"/>
      <c r="AT59" s="35"/>
      <c r="AU59" s="35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</row>
    <row r="60" spans="2:58" ht="12">
      <c r="B60" s="9" t="s">
        <v>147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1"/>
      <c r="AS60" s="36"/>
      <c r="AT60" s="36"/>
      <c r="AU60" s="3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</row>
    <row r="61" spans="2:58" ht="12">
      <c r="B61" s="12" t="s">
        <v>97</v>
      </c>
      <c r="C61" s="23"/>
      <c r="D61" s="175">
        <v>0</v>
      </c>
      <c r="E61" s="175">
        <v>0</v>
      </c>
      <c r="F61" s="175">
        <v>0</v>
      </c>
      <c r="G61" s="175">
        <v>0</v>
      </c>
      <c r="H61" s="175">
        <v>0</v>
      </c>
      <c r="I61" s="175">
        <v>0</v>
      </c>
      <c r="J61" s="175">
        <v>0</v>
      </c>
      <c r="K61" s="175">
        <v>0</v>
      </c>
      <c r="L61" s="175">
        <v>0</v>
      </c>
      <c r="M61" s="175">
        <v>0</v>
      </c>
      <c r="N61" s="175">
        <v>0</v>
      </c>
      <c r="O61" s="175">
        <v>0</v>
      </c>
      <c r="P61" s="175">
        <v>0</v>
      </c>
      <c r="Q61" s="175">
        <v>0</v>
      </c>
      <c r="R61" s="175">
        <v>0</v>
      </c>
      <c r="S61" s="175">
        <v>0</v>
      </c>
      <c r="T61" s="175">
        <v>0</v>
      </c>
      <c r="U61" s="175">
        <v>0</v>
      </c>
      <c r="V61" s="175">
        <v>0</v>
      </c>
      <c r="W61" s="175">
        <v>0</v>
      </c>
      <c r="X61" s="175">
        <f aca="true" t="shared" si="20" ref="X61:AQ61">(X42+X36+X48)</f>
        <v>0</v>
      </c>
      <c r="Y61" s="175">
        <f t="shared" si="20"/>
        <v>0</v>
      </c>
      <c r="Z61" s="175">
        <f t="shared" si="20"/>
        <v>0</v>
      </c>
      <c r="AA61" s="175">
        <f t="shared" si="20"/>
        <v>0</v>
      </c>
      <c r="AB61" s="175">
        <f t="shared" si="20"/>
        <v>0</v>
      </c>
      <c r="AC61" s="175">
        <f t="shared" si="20"/>
        <v>0</v>
      </c>
      <c r="AD61" s="175">
        <f t="shared" si="20"/>
        <v>0</v>
      </c>
      <c r="AE61" s="175">
        <f t="shared" si="20"/>
        <v>0</v>
      </c>
      <c r="AF61" s="175">
        <f t="shared" si="20"/>
        <v>0</v>
      </c>
      <c r="AG61" s="175">
        <f t="shared" si="20"/>
        <v>0</v>
      </c>
      <c r="AH61" s="175">
        <f t="shared" si="20"/>
        <v>0</v>
      </c>
      <c r="AI61" s="175">
        <f t="shared" si="20"/>
        <v>0</v>
      </c>
      <c r="AJ61" s="175">
        <f t="shared" si="20"/>
        <v>0</v>
      </c>
      <c r="AK61" s="175">
        <f t="shared" si="20"/>
        <v>0</v>
      </c>
      <c r="AL61" s="175">
        <f t="shared" si="20"/>
        <v>0</v>
      </c>
      <c r="AM61" s="175">
        <f t="shared" si="20"/>
        <v>0</v>
      </c>
      <c r="AN61" s="175">
        <f t="shared" si="20"/>
        <v>0</v>
      </c>
      <c r="AO61" s="175">
        <f t="shared" si="20"/>
        <v>0</v>
      </c>
      <c r="AP61" s="175">
        <f t="shared" si="20"/>
        <v>0</v>
      </c>
      <c r="AQ61" s="175">
        <f t="shared" si="20"/>
        <v>0</v>
      </c>
      <c r="AR61" s="21"/>
      <c r="AS61" s="36"/>
      <c r="AT61" s="36"/>
      <c r="AU61" s="3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</row>
    <row r="62" spans="2:47" s="126" customFormat="1" ht="12">
      <c r="B62" s="12" t="s">
        <v>98</v>
      </c>
      <c r="C62" s="23"/>
      <c r="D62" s="198">
        <f aca="true" t="shared" si="21" ref="D62:AQ62">VLOOKUP($H$12,$C$139:$AQ$146,D138+1)</f>
        <v>0.2</v>
      </c>
      <c r="E62" s="198">
        <f t="shared" si="21"/>
        <v>0.32</v>
      </c>
      <c r="F62" s="198">
        <f t="shared" si="21"/>
        <v>0.192</v>
      </c>
      <c r="G62" s="198">
        <f t="shared" si="21"/>
        <v>0.1152</v>
      </c>
      <c r="H62" s="198">
        <f t="shared" si="21"/>
        <v>0.1152</v>
      </c>
      <c r="I62" s="198">
        <f t="shared" si="21"/>
        <v>0.0576</v>
      </c>
      <c r="J62" s="198">
        <f t="shared" si="21"/>
        <v>0</v>
      </c>
      <c r="K62" s="198">
        <f t="shared" si="21"/>
        <v>0</v>
      </c>
      <c r="L62" s="198">
        <f t="shared" si="21"/>
        <v>0</v>
      </c>
      <c r="M62" s="198">
        <f t="shared" si="21"/>
        <v>0</v>
      </c>
      <c r="N62" s="198">
        <f t="shared" si="21"/>
        <v>0</v>
      </c>
      <c r="O62" s="198">
        <f t="shared" si="21"/>
        <v>0</v>
      </c>
      <c r="P62" s="198">
        <f t="shared" si="21"/>
        <v>0</v>
      </c>
      <c r="Q62" s="198">
        <f t="shared" si="21"/>
        <v>0</v>
      </c>
      <c r="R62" s="198">
        <f t="shared" si="21"/>
        <v>0</v>
      </c>
      <c r="S62" s="198">
        <f t="shared" si="21"/>
        <v>0</v>
      </c>
      <c r="T62" s="198">
        <f t="shared" si="21"/>
        <v>0</v>
      </c>
      <c r="U62" s="198">
        <f t="shared" si="21"/>
        <v>0</v>
      </c>
      <c r="V62" s="198">
        <f t="shared" si="21"/>
        <v>0</v>
      </c>
      <c r="W62" s="198">
        <f t="shared" si="21"/>
        <v>0</v>
      </c>
      <c r="X62" s="198">
        <f t="shared" si="21"/>
        <v>0</v>
      </c>
      <c r="Y62" s="198">
        <f t="shared" si="21"/>
        <v>0</v>
      </c>
      <c r="Z62" s="198">
        <f t="shared" si="21"/>
        <v>0</v>
      </c>
      <c r="AA62" s="198">
        <f t="shared" si="21"/>
        <v>0</v>
      </c>
      <c r="AB62" s="198">
        <f t="shared" si="21"/>
        <v>0</v>
      </c>
      <c r="AC62" s="198">
        <f t="shared" si="21"/>
        <v>0</v>
      </c>
      <c r="AD62" s="198">
        <f t="shared" si="21"/>
        <v>0</v>
      </c>
      <c r="AE62" s="198">
        <f t="shared" si="21"/>
        <v>0</v>
      </c>
      <c r="AF62" s="198">
        <f t="shared" si="21"/>
        <v>0</v>
      </c>
      <c r="AG62" s="198">
        <f t="shared" si="21"/>
        <v>0</v>
      </c>
      <c r="AH62" s="198">
        <f t="shared" si="21"/>
        <v>0</v>
      </c>
      <c r="AI62" s="198">
        <f t="shared" si="21"/>
        <v>0</v>
      </c>
      <c r="AJ62" s="198">
        <f t="shared" si="21"/>
        <v>0</v>
      </c>
      <c r="AK62" s="198">
        <f t="shared" si="21"/>
        <v>0</v>
      </c>
      <c r="AL62" s="198">
        <f t="shared" si="21"/>
        <v>0</v>
      </c>
      <c r="AM62" s="198">
        <f t="shared" si="21"/>
        <v>0</v>
      </c>
      <c r="AN62" s="198">
        <f t="shared" si="21"/>
        <v>0</v>
      </c>
      <c r="AO62" s="198">
        <f t="shared" si="21"/>
        <v>0</v>
      </c>
      <c r="AP62" s="198">
        <f t="shared" si="21"/>
        <v>0</v>
      </c>
      <c r="AQ62" s="198">
        <f t="shared" si="21"/>
        <v>0</v>
      </c>
      <c r="AR62" s="21"/>
      <c r="AS62" s="193"/>
      <c r="AT62" s="153"/>
      <c r="AU62" s="153"/>
    </row>
    <row r="63" spans="2:54" s="126" customFormat="1" ht="12">
      <c r="B63" s="12" t="s">
        <v>99</v>
      </c>
      <c r="C63" s="23">
        <f>C8*C7*10^6</f>
        <v>1742857.7586206894</v>
      </c>
      <c r="D63" s="175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  <c r="AS63" s="193"/>
      <c r="AT63" s="153"/>
      <c r="AU63" s="153"/>
      <c r="BB63" s="199"/>
    </row>
    <row r="64" spans="2:54" s="126" customFormat="1" ht="12">
      <c r="B64" s="126" t="s">
        <v>100</v>
      </c>
      <c r="D64" s="175">
        <f aca="true" t="shared" si="22" ref="D64:AQ64">+$C63*D62</f>
        <v>348571.5517241379</v>
      </c>
      <c r="E64" s="175">
        <f>+$C63*E62</f>
        <v>557714.4827586206</v>
      </c>
      <c r="F64" s="175">
        <f>+$C63*F62</f>
        <v>334628.68965517235</v>
      </c>
      <c r="G64" s="175">
        <f>+$C63*G62</f>
        <v>200777.2137931034</v>
      </c>
      <c r="H64" s="175">
        <f>+$C63*H62</f>
        <v>200777.2137931034</v>
      </c>
      <c r="I64" s="175">
        <f t="shared" si="22"/>
        <v>100388.6068965517</v>
      </c>
      <c r="J64" s="175">
        <f t="shared" si="22"/>
        <v>0</v>
      </c>
      <c r="K64" s="175">
        <f t="shared" si="22"/>
        <v>0</v>
      </c>
      <c r="L64" s="175">
        <f t="shared" si="22"/>
        <v>0</v>
      </c>
      <c r="M64" s="175">
        <f t="shared" si="22"/>
        <v>0</v>
      </c>
      <c r="N64" s="175">
        <f t="shared" si="22"/>
        <v>0</v>
      </c>
      <c r="O64" s="175">
        <f t="shared" si="22"/>
        <v>0</v>
      </c>
      <c r="P64" s="175">
        <f t="shared" si="22"/>
        <v>0</v>
      </c>
      <c r="Q64" s="175">
        <f t="shared" si="22"/>
        <v>0</v>
      </c>
      <c r="R64" s="175">
        <f t="shared" si="22"/>
        <v>0</v>
      </c>
      <c r="S64" s="175">
        <f t="shared" si="22"/>
        <v>0</v>
      </c>
      <c r="T64" s="175">
        <f t="shared" si="22"/>
        <v>0</v>
      </c>
      <c r="U64" s="175">
        <f t="shared" si="22"/>
        <v>0</v>
      </c>
      <c r="V64" s="175">
        <f t="shared" si="22"/>
        <v>0</v>
      </c>
      <c r="W64" s="175">
        <f t="shared" si="22"/>
        <v>0</v>
      </c>
      <c r="X64" s="175">
        <f t="shared" si="22"/>
        <v>0</v>
      </c>
      <c r="Y64" s="175">
        <f t="shared" si="22"/>
        <v>0</v>
      </c>
      <c r="Z64" s="175">
        <f t="shared" si="22"/>
        <v>0</v>
      </c>
      <c r="AA64" s="175">
        <f t="shared" si="22"/>
        <v>0</v>
      </c>
      <c r="AB64" s="175">
        <f t="shared" si="22"/>
        <v>0</v>
      </c>
      <c r="AC64" s="175">
        <f t="shared" si="22"/>
        <v>0</v>
      </c>
      <c r="AD64" s="175">
        <f t="shared" si="22"/>
        <v>0</v>
      </c>
      <c r="AE64" s="175">
        <f t="shared" si="22"/>
        <v>0</v>
      </c>
      <c r="AF64" s="175">
        <f t="shared" si="22"/>
        <v>0</v>
      </c>
      <c r="AG64" s="175">
        <f t="shared" si="22"/>
        <v>0</v>
      </c>
      <c r="AH64" s="175">
        <f t="shared" si="22"/>
        <v>0</v>
      </c>
      <c r="AI64" s="175">
        <f t="shared" si="22"/>
        <v>0</v>
      </c>
      <c r="AJ64" s="175">
        <f t="shared" si="22"/>
        <v>0</v>
      </c>
      <c r="AK64" s="175">
        <f t="shared" si="22"/>
        <v>0</v>
      </c>
      <c r="AL64" s="175">
        <f t="shared" si="22"/>
        <v>0</v>
      </c>
      <c r="AM64" s="175">
        <f t="shared" si="22"/>
        <v>0</v>
      </c>
      <c r="AN64" s="175">
        <f t="shared" si="22"/>
        <v>0</v>
      </c>
      <c r="AO64" s="175">
        <f t="shared" si="22"/>
        <v>0</v>
      </c>
      <c r="AP64" s="175">
        <f t="shared" si="22"/>
        <v>0</v>
      </c>
      <c r="AQ64" s="175">
        <f t="shared" si="22"/>
        <v>0</v>
      </c>
      <c r="AR64" s="200"/>
      <c r="AS64" s="193"/>
      <c r="AT64" s="193"/>
      <c r="AU64" s="193"/>
      <c r="AW64" s="195"/>
      <c r="AX64" s="195"/>
      <c r="BA64" s="195"/>
      <c r="BB64" s="195"/>
    </row>
    <row r="65" spans="2:50" s="126" customFormat="1" ht="12">
      <c r="B65" s="12" t="s">
        <v>19</v>
      </c>
      <c r="C65" s="23"/>
      <c r="D65" s="184">
        <f aca="true" t="shared" si="23" ref="D65:AQ65">+D45</f>
        <v>-31371.439655172406</v>
      </c>
      <c r="E65" s="184">
        <f t="shared" si="23"/>
        <v>-30317.93180122276</v>
      </c>
      <c r="F65" s="184">
        <f t="shared" si="23"/>
        <v>-29222.283633115123</v>
      </c>
      <c r="G65" s="184">
        <f t="shared" si="23"/>
        <v>-28082.809538283185</v>
      </c>
      <c r="H65" s="184">
        <f t="shared" si="23"/>
        <v>-26897.756479657968</v>
      </c>
      <c r="I65" s="184">
        <f t="shared" si="23"/>
        <v>-25665.301298687744</v>
      </c>
      <c r="J65" s="184">
        <f t="shared" si="23"/>
        <v>-24383.54791047871</v>
      </c>
      <c r="K65" s="184">
        <f t="shared" si="23"/>
        <v>-23050.52438674131</v>
      </c>
      <c r="L65" s="184">
        <f t="shared" si="23"/>
        <v>-21664.17992205442</v>
      </c>
      <c r="M65" s="184">
        <f t="shared" si="23"/>
        <v>-20222.381678780053</v>
      </c>
      <c r="N65" s="184">
        <f t="shared" si="23"/>
        <v>-18722.91150577471</v>
      </c>
      <c r="O65" s="184">
        <f t="shared" si="23"/>
        <v>-17163.462525849158</v>
      </c>
      <c r="P65" s="184">
        <f t="shared" si="23"/>
        <v>-15541.63558672658</v>
      </c>
      <c r="Q65" s="184">
        <f t="shared" si="23"/>
        <v>-13854.9355700391</v>
      </c>
      <c r="R65" s="184">
        <f t="shared" si="23"/>
        <v>-12100.76755268412</v>
      </c>
      <c r="S65" s="184">
        <f t="shared" si="23"/>
        <v>-10276.432814634942</v>
      </c>
      <c r="T65" s="184">
        <f t="shared" si="23"/>
        <v>-8379.124687063795</v>
      </c>
      <c r="U65" s="184">
        <f t="shared" si="23"/>
        <v>-6405.924234389802</v>
      </c>
      <c r="V65" s="184">
        <f t="shared" si="23"/>
        <v>-4353.79576360885</v>
      </c>
      <c r="W65" s="184">
        <f t="shared" si="23"/>
        <v>-2219.582153996661</v>
      </c>
      <c r="X65" s="184">
        <f t="shared" si="23"/>
        <v>0</v>
      </c>
      <c r="Y65" s="184">
        <f t="shared" si="23"/>
        <v>0</v>
      </c>
      <c r="Z65" s="184">
        <f t="shared" si="23"/>
        <v>0</v>
      </c>
      <c r="AA65" s="184">
        <f t="shared" si="23"/>
        <v>0</v>
      </c>
      <c r="AB65" s="184">
        <f t="shared" si="23"/>
        <v>0</v>
      </c>
      <c r="AC65" s="184">
        <f t="shared" si="23"/>
        <v>0</v>
      </c>
      <c r="AD65" s="184">
        <f t="shared" si="23"/>
        <v>0</v>
      </c>
      <c r="AE65" s="184">
        <f t="shared" si="23"/>
        <v>0</v>
      </c>
      <c r="AF65" s="184">
        <f t="shared" si="23"/>
        <v>0</v>
      </c>
      <c r="AG65" s="184">
        <f t="shared" si="23"/>
        <v>0</v>
      </c>
      <c r="AH65" s="184">
        <f t="shared" si="23"/>
        <v>0</v>
      </c>
      <c r="AI65" s="184">
        <f t="shared" si="23"/>
        <v>0</v>
      </c>
      <c r="AJ65" s="184">
        <f t="shared" si="23"/>
        <v>0</v>
      </c>
      <c r="AK65" s="184">
        <f t="shared" si="23"/>
        <v>0</v>
      </c>
      <c r="AL65" s="184">
        <f t="shared" si="23"/>
        <v>0</v>
      </c>
      <c r="AM65" s="184">
        <f t="shared" si="23"/>
        <v>0</v>
      </c>
      <c r="AN65" s="184">
        <f t="shared" si="23"/>
        <v>0</v>
      </c>
      <c r="AO65" s="184">
        <f t="shared" si="23"/>
        <v>0</v>
      </c>
      <c r="AP65" s="184">
        <f t="shared" si="23"/>
        <v>0</v>
      </c>
      <c r="AQ65" s="184">
        <f t="shared" si="23"/>
        <v>0</v>
      </c>
      <c r="AR65" s="177"/>
      <c r="AS65" s="193"/>
      <c r="AT65" s="193"/>
      <c r="AU65" s="193"/>
      <c r="AW65" s="195"/>
      <c r="AX65" s="193"/>
    </row>
    <row r="66" spans="2:54" s="126" customFormat="1" ht="12">
      <c r="B66" s="12" t="s">
        <v>101</v>
      </c>
      <c r="C66" s="23"/>
      <c r="D66" s="184">
        <f aca="true" t="shared" si="24" ref="D66:AQ66">+D61-D64+D65</f>
        <v>-379942.9913793103</v>
      </c>
      <c r="E66" s="184">
        <f t="shared" si="24"/>
        <v>-588032.4145598434</v>
      </c>
      <c r="F66" s="184">
        <f t="shared" si="24"/>
        <v>-363850.97328828747</v>
      </c>
      <c r="G66" s="184">
        <f t="shared" si="24"/>
        <v>-228860.0233313866</v>
      </c>
      <c r="H66" s="184">
        <f t="shared" si="24"/>
        <v>-227674.97027276136</v>
      </c>
      <c r="I66" s="184">
        <f t="shared" si="24"/>
        <v>-126053.90819523945</v>
      </c>
      <c r="J66" s="184">
        <f t="shared" si="24"/>
        <v>-24383.54791047871</v>
      </c>
      <c r="K66" s="184">
        <f t="shared" si="24"/>
        <v>-23050.52438674131</v>
      </c>
      <c r="L66" s="184">
        <f t="shared" si="24"/>
        <v>-21664.17992205442</v>
      </c>
      <c r="M66" s="184">
        <f t="shared" si="24"/>
        <v>-20222.381678780053</v>
      </c>
      <c r="N66" s="184">
        <f t="shared" si="24"/>
        <v>-18722.91150577471</v>
      </c>
      <c r="O66" s="184">
        <f t="shared" si="24"/>
        <v>-17163.462525849158</v>
      </c>
      <c r="P66" s="184">
        <f t="shared" si="24"/>
        <v>-15541.63558672658</v>
      </c>
      <c r="Q66" s="184">
        <f t="shared" si="24"/>
        <v>-13854.9355700391</v>
      </c>
      <c r="R66" s="184">
        <f t="shared" si="24"/>
        <v>-12100.76755268412</v>
      </c>
      <c r="S66" s="184">
        <f t="shared" si="24"/>
        <v>-10276.432814634942</v>
      </c>
      <c r="T66" s="184">
        <f t="shared" si="24"/>
        <v>-8379.124687063795</v>
      </c>
      <c r="U66" s="184">
        <f t="shared" si="24"/>
        <v>-6405.924234389802</v>
      </c>
      <c r="V66" s="184">
        <f t="shared" si="24"/>
        <v>-4353.79576360885</v>
      </c>
      <c r="W66" s="184">
        <f t="shared" si="24"/>
        <v>-2219.582153996661</v>
      </c>
      <c r="X66" s="184">
        <f t="shared" si="24"/>
        <v>0</v>
      </c>
      <c r="Y66" s="184">
        <f t="shared" si="24"/>
        <v>0</v>
      </c>
      <c r="Z66" s="184">
        <f t="shared" si="24"/>
        <v>0</v>
      </c>
      <c r="AA66" s="184">
        <f t="shared" si="24"/>
        <v>0</v>
      </c>
      <c r="AB66" s="184">
        <f t="shared" si="24"/>
        <v>0</v>
      </c>
      <c r="AC66" s="184">
        <f t="shared" si="24"/>
        <v>0</v>
      </c>
      <c r="AD66" s="184">
        <f t="shared" si="24"/>
        <v>0</v>
      </c>
      <c r="AE66" s="184">
        <f t="shared" si="24"/>
        <v>0</v>
      </c>
      <c r="AF66" s="184">
        <f t="shared" si="24"/>
        <v>0</v>
      </c>
      <c r="AG66" s="184">
        <f t="shared" si="24"/>
        <v>0</v>
      </c>
      <c r="AH66" s="184">
        <f t="shared" si="24"/>
        <v>0</v>
      </c>
      <c r="AI66" s="184">
        <f t="shared" si="24"/>
        <v>0</v>
      </c>
      <c r="AJ66" s="184">
        <f t="shared" si="24"/>
        <v>0</v>
      </c>
      <c r="AK66" s="184">
        <f t="shared" si="24"/>
        <v>0</v>
      </c>
      <c r="AL66" s="184">
        <f t="shared" si="24"/>
        <v>0</v>
      </c>
      <c r="AM66" s="184">
        <f t="shared" si="24"/>
        <v>0</v>
      </c>
      <c r="AN66" s="184">
        <f t="shared" si="24"/>
        <v>0</v>
      </c>
      <c r="AO66" s="184">
        <f t="shared" si="24"/>
        <v>0</v>
      </c>
      <c r="AP66" s="184">
        <f t="shared" si="24"/>
        <v>0</v>
      </c>
      <c r="AQ66" s="184">
        <f t="shared" si="24"/>
        <v>0</v>
      </c>
      <c r="AR66" s="177"/>
      <c r="AS66" s="193"/>
      <c r="AT66" s="193"/>
      <c r="AU66" s="193"/>
      <c r="AW66" s="193"/>
      <c r="AX66" s="193"/>
      <c r="BA66" s="201"/>
      <c r="BB66" s="201"/>
    </row>
    <row r="67" spans="2:50" s="126" customFormat="1" ht="12">
      <c r="B67" s="12" t="s">
        <v>102</v>
      </c>
      <c r="C67" s="198">
        <f>+H8</f>
        <v>0.0575</v>
      </c>
      <c r="D67" s="315">
        <f>-$C$67*D66</f>
        <v>21846.722004310344</v>
      </c>
      <c r="E67" s="184">
        <f aca="true" t="shared" si="25" ref="E67:AQ67">-$C$67*E66</f>
        <v>33811.863837191</v>
      </c>
      <c r="F67" s="184">
        <f t="shared" si="25"/>
        <v>20921.43096407653</v>
      </c>
      <c r="G67" s="184">
        <f t="shared" si="25"/>
        <v>13159.45134155473</v>
      </c>
      <c r="H67" s="184">
        <f t="shared" si="25"/>
        <v>13091.31079068378</v>
      </c>
      <c r="I67" s="184">
        <f t="shared" si="25"/>
        <v>7248.099721226268</v>
      </c>
      <c r="J67" s="184">
        <f t="shared" si="25"/>
        <v>1402.0540048525258</v>
      </c>
      <c r="K67" s="184">
        <f t="shared" si="25"/>
        <v>1325.4051522376253</v>
      </c>
      <c r="L67" s="184">
        <f t="shared" si="25"/>
        <v>1245.690345518129</v>
      </c>
      <c r="M67" s="184">
        <f t="shared" si="25"/>
        <v>1162.7869465298531</v>
      </c>
      <c r="N67" s="184">
        <f t="shared" si="25"/>
        <v>1076.567411582046</v>
      </c>
      <c r="O67" s="184">
        <f t="shared" si="25"/>
        <v>986.8990952363266</v>
      </c>
      <c r="P67" s="184">
        <f t="shared" si="25"/>
        <v>893.6440462367783</v>
      </c>
      <c r="Q67" s="184">
        <f t="shared" si="25"/>
        <v>796.6587952772484</v>
      </c>
      <c r="R67" s="184">
        <f t="shared" si="25"/>
        <v>695.7941342793368</v>
      </c>
      <c r="S67" s="184">
        <f t="shared" si="25"/>
        <v>590.8948868415092</v>
      </c>
      <c r="T67" s="184">
        <f t="shared" si="25"/>
        <v>481.79966950616824</v>
      </c>
      <c r="U67" s="184">
        <f t="shared" si="25"/>
        <v>368.34064347741366</v>
      </c>
      <c r="V67" s="184">
        <f t="shared" si="25"/>
        <v>250.3432564075089</v>
      </c>
      <c r="W67" s="184">
        <f t="shared" si="25"/>
        <v>127.62597385480801</v>
      </c>
      <c r="X67" s="184">
        <f t="shared" si="25"/>
        <v>0</v>
      </c>
      <c r="Y67" s="184">
        <f t="shared" si="25"/>
        <v>0</v>
      </c>
      <c r="Z67" s="184">
        <f t="shared" si="25"/>
        <v>0</v>
      </c>
      <c r="AA67" s="184">
        <f t="shared" si="25"/>
        <v>0</v>
      </c>
      <c r="AB67" s="184">
        <f t="shared" si="25"/>
        <v>0</v>
      </c>
      <c r="AC67" s="184">
        <f t="shared" si="25"/>
        <v>0</v>
      </c>
      <c r="AD67" s="184">
        <f t="shared" si="25"/>
        <v>0</v>
      </c>
      <c r="AE67" s="184">
        <f t="shared" si="25"/>
        <v>0</v>
      </c>
      <c r="AF67" s="184">
        <f t="shared" si="25"/>
        <v>0</v>
      </c>
      <c r="AG67" s="184">
        <f t="shared" si="25"/>
        <v>0</v>
      </c>
      <c r="AH67" s="184">
        <f t="shared" si="25"/>
        <v>0</v>
      </c>
      <c r="AI67" s="184">
        <f t="shared" si="25"/>
        <v>0</v>
      </c>
      <c r="AJ67" s="184">
        <f t="shared" si="25"/>
        <v>0</v>
      </c>
      <c r="AK67" s="184">
        <f t="shared" si="25"/>
        <v>0</v>
      </c>
      <c r="AL67" s="184">
        <f t="shared" si="25"/>
        <v>0</v>
      </c>
      <c r="AM67" s="184">
        <f t="shared" si="25"/>
        <v>0</v>
      </c>
      <c r="AN67" s="184">
        <f t="shared" si="25"/>
        <v>0</v>
      </c>
      <c r="AO67" s="184">
        <f t="shared" si="25"/>
        <v>0</v>
      </c>
      <c r="AP67" s="184">
        <f t="shared" si="25"/>
        <v>0</v>
      </c>
      <c r="AQ67" s="184">
        <f t="shared" si="25"/>
        <v>0</v>
      </c>
      <c r="AR67" s="177"/>
      <c r="AS67" s="195"/>
      <c r="AT67" s="195"/>
      <c r="AU67" s="195"/>
      <c r="AW67" s="195"/>
      <c r="AX67" s="195"/>
    </row>
    <row r="68" spans="2:54" s="126" customFormat="1" ht="12">
      <c r="B68" s="12"/>
      <c r="C68" s="23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21"/>
      <c r="AS68" s="34"/>
      <c r="AT68" s="34"/>
      <c r="AU68" s="34"/>
      <c r="AW68" s="34"/>
      <c r="AX68" s="34"/>
      <c r="BA68" s="202"/>
      <c r="BB68" s="202"/>
    </row>
    <row r="69" spans="2:50" s="126" customFormat="1" ht="12">
      <c r="B69" s="9" t="s">
        <v>103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177"/>
      <c r="AS69" s="193"/>
      <c r="AT69" s="193"/>
      <c r="AU69" s="193"/>
      <c r="AW69" s="177"/>
      <c r="AX69" s="177"/>
    </row>
    <row r="70" spans="2:50" s="126" customFormat="1" ht="12">
      <c r="B70" s="12" t="s">
        <v>97</v>
      </c>
      <c r="C70" s="23"/>
      <c r="D70" s="175">
        <v>0</v>
      </c>
      <c r="E70" s="175">
        <v>0</v>
      </c>
      <c r="F70" s="175">
        <v>0</v>
      </c>
      <c r="G70" s="175">
        <v>0</v>
      </c>
      <c r="H70" s="175">
        <v>0</v>
      </c>
      <c r="I70" s="175">
        <v>0</v>
      </c>
      <c r="J70" s="175">
        <v>0</v>
      </c>
      <c r="K70" s="175">
        <v>0</v>
      </c>
      <c r="L70" s="175">
        <v>0</v>
      </c>
      <c r="M70" s="175">
        <v>0</v>
      </c>
      <c r="N70" s="175">
        <v>0</v>
      </c>
      <c r="O70" s="175">
        <v>0</v>
      </c>
      <c r="P70" s="175">
        <v>0</v>
      </c>
      <c r="Q70" s="175">
        <v>0</v>
      </c>
      <c r="R70" s="175">
        <v>0</v>
      </c>
      <c r="S70" s="175">
        <v>0</v>
      </c>
      <c r="T70" s="175">
        <v>0</v>
      </c>
      <c r="U70" s="175">
        <v>0</v>
      </c>
      <c r="V70" s="175">
        <v>0</v>
      </c>
      <c r="W70" s="175">
        <v>0</v>
      </c>
      <c r="X70" s="175">
        <v>0</v>
      </c>
      <c r="Y70" s="175">
        <f aca="true" t="shared" si="26" ref="Y70:AQ70">(Y42+Y36+Y48)</f>
        <v>0</v>
      </c>
      <c r="Z70" s="175">
        <f t="shared" si="26"/>
        <v>0</v>
      </c>
      <c r="AA70" s="175">
        <f t="shared" si="26"/>
        <v>0</v>
      </c>
      <c r="AB70" s="175">
        <f t="shared" si="26"/>
        <v>0</v>
      </c>
      <c r="AC70" s="175">
        <f t="shared" si="26"/>
        <v>0</v>
      </c>
      <c r="AD70" s="175">
        <f t="shared" si="26"/>
        <v>0</v>
      </c>
      <c r="AE70" s="175">
        <f t="shared" si="26"/>
        <v>0</v>
      </c>
      <c r="AF70" s="175">
        <f t="shared" si="26"/>
        <v>0</v>
      </c>
      <c r="AG70" s="175">
        <f t="shared" si="26"/>
        <v>0</v>
      </c>
      <c r="AH70" s="175">
        <f t="shared" si="26"/>
        <v>0</v>
      </c>
      <c r="AI70" s="175">
        <f t="shared" si="26"/>
        <v>0</v>
      </c>
      <c r="AJ70" s="175">
        <f t="shared" si="26"/>
        <v>0</v>
      </c>
      <c r="AK70" s="175">
        <f t="shared" si="26"/>
        <v>0</v>
      </c>
      <c r="AL70" s="175">
        <f t="shared" si="26"/>
        <v>0</v>
      </c>
      <c r="AM70" s="175">
        <f t="shared" si="26"/>
        <v>0</v>
      </c>
      <c r="AN70" s="175">
        <f t="shared" si="26"/>
        <v>0</v>
      </c>
      <c r="AO70" s="175">
        <f t="shared" si="26"/>
        <v>0</v>
      </c>
      <c r="AP70" s="175">
        <f t="shared" si="26"/>
        <v>0</v>
      </c>
      <c r="AQ70" s="175">
        <f t="shared" si="26"/>
        <v>0</v>
      </c>
      <c r="AR70" s="21"/>
      <c r="AS70" s="34"/>
      <c r="AT70" s="34"/>
      <c r="AU70" s="34"/>
      <c r="AW70" s="34"/>
      <c r="AX70" s="34"/>
    </row>
    <row r="71" spans="2:48" s="126" customFormat="1" ht="12">
      <c r="B71" s="12" t="s">
        <v>104</v>
      </c>
      <c r="C71" s="23"/>
      <c r="D71" s="198">
        <f aca="true" t="shared" si="27" ref="D71:AQ71">VLOOKUP($H$12,$C$139:$AQ$146,D138+1)</f>
        <v>0.2</v>
      </c>
      <c r="E71" s="198">
        <f t="shared" si="27"/>
        <v>0.32</v>
      </c>
      <c r="F71" s="198">
        <f t="shared" si="27"/>
        <v>0.192</v>
      </c>
      <c r="G71" s="198">
        <f t="shared" si="27"/>
        <v>0.1152</v>
      </c>
      <c r="H71" s="198">
        <f t="shared" si="27"/>
        <v>0.1152</v>
      </c>
      <c r="I71" s="198">
        <f t="shared" si="27"/>
        <v>0.0576</v>
      </c>
      <c r="J71" s="198">
        <f t="shared" si="27"/>
        <v>0</v>
      </c>
      <c r="K71" s="198">
        <f t="shared" si="27"/>
        <v>0</v>
      </c>
      <c r="L71" s="198">
        <f t="shared" si="27"/>
        <v>0</v>
      </c>
      <c r="M71" s="198">
        <f t="shared" si="27"/>
        <v>0</v>
      </c>
      <c r="N71" s="198">
        <f t="shared" si="27"/>
        <v>0</v>
      </c>
      <c r="O71" s="198">
        <f t="shared" si="27"/>
        <v>0</v>
      </c>
      <c r="P71" s="198">
        <f t="shared" si="27"/>
        <v>0</v>
      </c>
      <c r="Q71" s="198">
        <f t="shared" si="27"/>
        <v>0</v>
      </c>
      <c r="R71" s="198">
        <f t="shared" si="27"/>
        <v>0</v>
      </c>
      <c r="S71" s="198">
        <f t="shared" si="27"/>
        <v>0</v>
      </c>
      <c r="T71" s="198">
        <f t="shared" si="27"/>
        <v>0</v>
      </c>
      <c r="U71" s="198">
        <f t="shared" si="27"/>
        <v>0</v>
      </c>
      <c r="V71" s="198">
        <f t="shared" si="27"/>
        <v>0</v>
      </c>
      <c r="W71" s="198">
        <f t="shared" si="27"/>
        <v>0</v>
      </c>
      <c r="X71" s="198">
        <f t="shared" si="27"/>
        <v>0</v>
      </c>
      <c r="Y71" s="198">
        <f t="shared" si="27"/>
        <v>0</v>
      </c>
      <c r="Z71" s="198">
        <f t="shared" si="27"/>
        <v>0</v>
      </c>
      <c r="AA71" s="198">
        <f t="shared" si="27"/>
        <v>0</v>
      </c>
      <c r="AB71" s="198">
        <f t="shared" si="27"/>
        <v>0</v>
      </c>
      <c r="AC71" s="198">
        <f t="shared" si="27"/>
        <v>0</v>
      </c>
      <c r="AD71" s="198">
        <f t="shared" si="27"/>
        <v>0</v>
      </c>
      <c r="AE71" s="198">
        <f t="shared" si="27"/>
        <v>0</v>
      </c>
      <c r="AF71" s="198">
        <f t="shared" si="27"/>
        <v>0</v>
      </c>
      <c r="AG71" s="198">
        <f t="shared" si="27"/>
        <v>0</v>
      </c>
      <c r="AH71" s="198">
        <f t="shared" si="27"/>
        <v>0</v>
      </c>
      <c r="AI71" s="198">
        <f t="shared" si="27"/>
        <v>0</v>
      </c>
      <c r="AJ71" s="198">
        <f t="shared" si="27"/>
        <v>0</v>
      </c>
      <c r="AK71" s="198">
        <f t="shared" si="27"/>
        <v>0</v>
      </c>
      <c r="AL71" s="198">
        <f t="shared" si="27"/>
        <v>0</v>
      </c>
      <c r="AM71" s="198">
        <f t="shared" si="27"/>
        <v>0</v>
      </c>
      <c r="AN71" s="198">
        <f t="shared" si="27"/>
        <v>0</v>
      </c>
      <c r="AO71" s="198">
        <f t="shared" si="27"/>
        <v>0</v>
      </c>
      <c r="AP71" s="198">
        <f t="shared" si="27"/>
        <v>0</v>
      </c>
      <c r="AQ71" s="198">
        <f t="shared" si="27"/>
        <v>0</v>
      </c>
      <c r="AU71" s="153"/>
      <c r="AV71" s="177"/>
    </row>
    <row r="72" spans="2:47" s="126" customFormat="1" ht="12">
      <c r="B72" s="12" t="s">
        <v>105</v>
      </c>
      <c r="C72" s="23">
        <f>C8*C7*10^6*(1-H11)</f>
        <v>1481429.0948275859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U72" s="153"/>
    </row>
    <row r="73" spans="2:47" s="126" customFormat="1" ht="12">
      <c r="B73" s="12" t="s">
        <v>106</v>
      </c>
      <c r="C73" s="23"/>
      <c r="D73" s="184">
        <f aca="true" t="shared" si="28" ref="D73:AQ73">+$C72*D71</f>
        <v>296285.81896551716</v>
      </c>
      <c r="E73" s="184">
        <f>+$C72*E71</f>
        <v>474057.3103448275</v>
      </c>
      <c r="F73" s="184">
        <f>+$C72*F71</f>
        <v>284434.3862068965</v>
      </c>
      <c r="G73" s="184">
        <f>+$C72*G71</f>
        <v>170660.6317241379</v>
      </c>
      <c r="H73" s="184">
        <f>+$C72*H71</f>
        <v>170660.6317241379</v>
      </c>
      <c r="I73" s="184">
        <f t="shared" si="28"/>
        <v>85330.31586206895</v>
      </c>
      <c r="J73" s="184">
        <f t="shared" si="28"/>
        <v>0</v>
      </c>
      <c r="K73" s="184">
        <f t="shared" si="28"/>
        <v>0</v>
      </c>
      <c r="L73" s="184">
        <f t="shared" si="28"/>
        <v>0</v>
      </c>
      <c r="M73" s="184">
        <f t="shared" si="28"/>
        <v>0</v>
      </c>
      <c r="N73" s="184">
        <f t="shared" si="28"/>
        <v>0</v>
      </c>
      <c r="O73" s="184">
        <f t="shared" si="28"/>
        <v>0</v>
      </c>
      <c r="P73" s="184">
        <f t="shared" si="28"/>
        <v>0</v>
      </c>
      <c r="Q73" s="184">
        <f t="shared" si="28"/>
        <v>0</v>
      </c>
      <c r="R73" s="184">
        <f t="shared" si="28"/>
        <v>0</v>
      </c>
      <c r="S73" s="184">
        <f t="shared" si="28"/>
        <v>0</v>
      </c>
      <c r="T73" s="184">
        <f t="shared" si="28"/>
        <v>0</v>
      </c>
      <c r="U73" s="184">
        <f t="shared" si="28"/>
        <v>0</v>
      </c>
      <c r="V73" s="184">
        <f t="shared" si="28"/>
        <v>0</v>
      </c>
      <c r="W73" s="184">
        <f t="shared" si="28"/>
        <v>0</v>
      </c>
      <c r="X73" s="184">
        <f t="shared" si="28"/>
        <v>0</v>
      </c>
      <c r="Y73" s="184">
        <f t="shared" si="28"/>
        <v>0</v>
      </c>
      <c r="Z73" s="184">
        <f t="shared" si="28"/>
        <v>0</v>
      </c>
      <c r="AA73" s="184">
        <f t="shared" si="28"/>
        <v>0</v>
      </c>
      <c r="AB73" s="184">
        <f t="shared" si="28"/>
        <v>0</v>
      </c>
      <c r="AC73" s="184">
        <f t="shared" si="28"/>
        <v>0</v>
      </c>
      <c r="AD73" s="184">
        <f t="shared" si="28"/>
        <v>0</v>
      </c>
      <c r="AE73" s="184">
        <f t="shared" si="28"/>
        <v>0</v>
      </c>
      <c r="AF73" s="184">
        <f t="shared" si="28"/>
        <v>0</v>
      </c>
      <c r="AG73" s="184">
        <f t="shared" si="28"/>
        <v>0</v>
      </c>
      <c r="AH73" s="184">
        <f t="shared" si="28"/>
        <v>0</v>
      </c>
      <c r="AI73" s="184">
        <f t="shared" si="28"/>
        <v>0</v>
      </c>
      <c r="AJ73" s="184">
        <f t="shared" si="28"/>
        <v>0</v>
      </c>
      <c r="AK73" s="184">
        <f t="shared" si="28"/>
        <v>0</v>
      </c>
      <c r="AL73" s="184">
        <f t="shared" si="28"/>
        <v>0</v>
      </c>
      <c r="AM73" s="184">
        <f t="shared" si="28"/>
        <v>0</v>
      </c>
      <c r="AN73" s="184">
        <f t="shared" si="28"/>
        <v>0</v>
      </c>
      <c r="AO73" s="184">
        <f t="shared" si="28"/>
        <v>0</v>
      </c>
      <c r="AP73" s="184">
        <f t="shared" si="28"/>
        <v>0</v>
      </c>
      <c r="AQ73" s="184">
        <f t="shared" si="28"/>
        <v>0</v>
      </c>
      <c r="AR73" s="21"/>
      <c r="AS73" s="193"/>
      <c r="AT73" s="153"/>
      <c r="AU73" s="153"/>
    </row>
    <row r="74" spans="2:47" s="126" customFormat="1" ht="12">
      <c r="B74" s="12" t="s">
        <v>19</v>
      </c>
      <c r="C74" s="23"/>
      <c r="D74" s="184">
        <f aca="true" t="shared" si="29" ref="D74:AQ74">+D45</f>
        <v>-31371.439655172406</v>
      </c>
      <c r="E74" s="184">
        <f t="shared" si="29"/>
        <v>-30317.93180122276</v>
      </c>
      <c r="F74" s="184">
        <f t="shared" si="29"/>
        <v>-29222.283633115123</v>
      </c>
      <c r="G74" s="184">
        <f t="shared" si="29"/>
        <v>-28082.809538283185</v>
      </c>
      <c r="H74" s="184">
        <f t="shared" si="29"/>
        <v>-26897.756479657968</v>
      </c>
      <c r="I74" s="184">
        <f t="shared" si="29"/>
        <v>-25665.301298687744</v>
      </c>
      <c r="J74" s="184">
        <f t="shared" si="29"/>
        <v>-24383.54791047871</v>
      </c>
      <c r="K74" s="184">
        <f t="shared" si="29"/>
        <v>-23050.52438674131</v>
      </c>
      <c r="L74" s="184">
        <f t="shared" si="29"/>
        <v>-21664.17992205442</v>
      </c>
      <c r="M74" s="184">
        <f t="shared" si="29"/>
        <v>-20222.381678780053</v>
      </c>
      <c r="N74" s="184">
        <f t="shared" si="29"/>
        <v>-18722.91150577471</v>
      </c>
      <c r="O74" s="184">
        <f t="shared" si="29"/>
        <v>-17163.462525849158</v>
      </c>
      <c r="P74" s="184">
        <f t="shared" si="29"/>
        <v>-15541.63558672658</v>
      </c>
      <c r="Q74" s="184">
        <f t="shared" si="29"/>
        <v>-13854.9355700391</v>
      </c>
      <c r="R74" s="184">
        <f t="shared" si="29"/>
        <v>-12100.76755268412</v>
      </c>
      <c r="S74" s="184">
        <f t="shared" si="29"/>
        <v>-10276.432814634942</v>
      </c>
      <c r="T74" s="184">
        <f t="shared" si="29"/>
        <v>-8379.124687063795</v>
      </c>
      <c r="U74" s="184">
        <f t="shared" si="29"/>
        <v>-6405.924234389802</v>
      </c>
      <c r="V74" s="184">
        <f t="shared" si="29"/>
        <v>-4353.79576360885</v>
      </c>
      <c r="W74" s="184">
        <f t="shared" si="29"/>
        <v>-2219.582153996661</v>
      </c>
      <c r="X74" s="184">
        <f t="shared" si="29"/>
        <v>0</v>
      </c>
      <c r="Y74" s="184">
        <f t="shared" si="29"/>
        <v>0</v>
      </c>
      <c r="Z74" s="184">
        <f t="shared" si="29"/>
        <v>0</v>
      </c>
      <c r="AA74" s="184">
        <f t="shared" si="29"/>
        <v>0</v>
      </c>
      <c r="AB74" s="184">
        <f t="shared" si="29"/>
        <v>0</v>
      </c>
      <c r="AC74" s="184">
        <f t="shared" si="29"/>
        <v>0</v>
      </c>
      <c r="AD74" s="184">
        <f t="shared" si="29"/>
        <v>0</v>
      </c>
      <c r="AE74" s="184">
        <f t="shared" si="29"/>
        <v>0</v>
      </c>
      <c r="AF74" s="184">
        <f t="shared" si="29"/>
        <v>0</v>
      </c>
      <c r="AG74" s="184">
        <f t="shared" si="29"/>
        <v>0</v>
      </c>
      <c r="AH74" s="184">
        <f t="shared" si="29"/>
        <v>0</v>
      </c>
      <c r="AI74" s="184">
        <f t="shared" si="29"/>
        <v>0</v>
      </c>
      <c r="AJ74" s="184">
        <f t="shared" si="29"/>
        <v>0</v>
      </c>
      <c r="AK74" s="184">
        <f t="shared" si="29"/>
        <v>0</v>
      </c>
      <c r="AL74" s="184">
        <f t="shared" si="29"/>
        <v>0</v>
      </c>
      <c r="AM74" s="184">
        <f t="shared" si="29"/>
        <v>0</v>
      </c>
      <c r="AN74" s="184">
        <f t="shared" si="29"/>
        <v>0</v>
      </c>
      <c r="AO74" s="184">
        <f t="shared" si="29"/>
        <v>0</v>
      </c>
      <c r="AP74" s="184">
        <f t="shared" si="29"/>
        <v>0</v>
      </c>
      <c r="AQ74" s="184">
        <f t="shared" si="29"/>
        <v>0</v>
      </c>
      <c r="AR74" s="21"/>
      <c r="AS74" s="193"/>
      <c r="AT74" s="153"/>
      <c r="AU74" s="153"/>
    </row>
    <row r="75" spans="2:47" s="126" customFormat="1" ht="12">
      <c r="B75" s="12" t="s">
        <v>107</v>
      </c>
      <c r="C75" s="23"/>
      <c r="D75" s="184">
        <f aca="true" t="shared" si="30" ref="D75:AQ75">+D67</f>
        <v>21846.722004310344</v>
      </c>
      <c r="E75" s="184">
        <f t="shared" si="30"/>
        <v>33811.863837191</v>
      </c>
      <c r="F75" s="184">
        <f t="shared" si="30"/>
        <v>20921.43096407653</v>
      </c>
      <c r="G75" s="184">
        <f t="shared" si="30"/>
        <v>13159.45134155473</v>
      </c>
      <c r="H75" s="184">
        <f t="shared" si="30"/>
        <v>13091.31079068378</v>
      </c>
      <c r="I75" s="184">
        <f t="shared" si="30"/>
        <v>7248.099721226268</v>
      </c>
      <c r="J75" s="184">
        <f t="shared" si="30"/>
        <v>1402.0540048525258</v>
      </c>
      <c r="K75" s="184">
        <f t="shared" si="30"/>
        <v>1325.4051522376253</v>
      </c>
      <c r="L75" s="184">
        <f t="shared" si="30"/>
        <v>1245.690345518129</v>
      </c>
      <c r="M75" s="184">
        <f t="shared" si="30"/>
        <v>1162.7869465298531</v>
      </c>
      <c r="N75" s="184">
        <f t="shared" si="30"/>
        <v>1076.567411582046</v>
      </c>
      <c r="O75" s="184">
        <f t="shared" si="30"/>
        <v>986.8990952363266</v>
      </c>
      <c r="P75" s="184">
        <f t="shared" si="30"/>
        <v>893.6440462367783</v>
      </c>
      <c r="Q75" s="184">
        <f t="shared" si="30"/>
        <v>796.6587952772484</v>
      </c>
      <c r="R75" s="184">
        <f t="shared" si="30"/>
        <v>695.7941342793368</v>
      </c>
      <c r="S75" s="184">
        <f t="shared" si="30"/>
        <v>590.8948868415092</v>
      </c>
      <c r="T75" s="184">
        <f t="shared" si="30"/>
        <v>481.79966950616824</v>
      </c>
      <c r="U75" s="184">
        <f t="shared" si="30"/>
        <v>368.34064347741366</v>
      </c>
      <c r="V75" s="184">
        <f t="shared" si="30"/>
        <v>250.3432564075089</v>
      </c>
      <c r="W75" s="184">
        <f t="shared" si="30"/>
        <v>127.62597385480801</v>
      </c>
      <c r="X75" s="184">
        <f t="shared" si="30"/>
        <v>0</v>
      </c>
      <c r="Y75" s="184">
        <f t="shared" si="30"/>
        <v>0</v>
      </c>
      <c r="Z75" s="184">
        <f t="shared" si="30"/>
        <v>0</v>
      </c>
      <c r="AA75" s="184">
        <f t="shared" si="30"/>
        <v>0</v>
      </c>
      <c r="AB75" s="184">
        <f t="shared" si="30"/>
        <v>0</v>
      </c>
      <c r="AC75" s="184">
        <f t="shared" si="30"/>
        <v>0</v>
      </c>
      <c r="AD75" s="184">
        <f t="shared" si="30"/>
        <v>0</v>
      </c>
      <c r="AE75" s="184">
        <f t="shared" si="30"/>
        <v>0</v>
      </c>
      <c r="AF75" s="184">
        <f t="shared" si="30"/>
        <v>0</v>
      </c>
      <c r="AG75" s="184">
        <f t="shared" si="30"/>
        <v>0</v>
      </c>
      <c r="AH75" s="184">
        <f t="shared" si="30"/>
        <v>0</v>
      </c>
      <c r="AI75" s="184">
        <f t="shared" si="30"/>
        <v>0</v>
      </c>
      <c r="AJ75" s="184">
        <f t="shared" si="30"/>
        <v>0</v>
      </c>
      <c r="AK75" s="184">
        <f t="shared" si="30"/>
        <v>0</v>
      </c>
      <c r="AL75" s="184">
        <f t="shared" si="30"/>
        <v>0</v>
      </c>
      <c r="AM75" s="184">
        <f t="shared" si="30"/>
        <v>0</v>
      </c>
      <c r="AN75" s="184">
        <f t="shared" si="30"/>
        <v>0</v>
      </c>
      <c r="AO75" s="184">
        <f t="shared" si="30"/>
        <v>0</v>
      </c>
      <c r="AP75" s="184">
        <f t="shared" si="30"/>
        <v>0</v>
      </c>
      <c r="AQ75" s="184">
        <f t="shared" si="30"/>
        <v>0</v>
      </c>
      <c r="AR75" s="21"/>
      <c r="AS75" s="193"/>
      <c r="AT75" s="153"/>
      <c r="AU75" s="153"/>
    </row>
    <row r="76" spans="2:47" s="126" customFormat="1" ht="12">
      <c r="B76" s="12" t="s">
        <v>101</v>
      </c>
      <c r="C76" s="23"/>
      <c r="D76" s="184">
        <f aca="true" t="shared" si="31" ref="D76:AQ76">+D70-D73+D74+D75</f>
        <v>-305810.5366163792</v>
      </c>
      <c r="E76" s="184">
        <f t="shared" si="31"/>
        <v>-470563.3783088592</v>
      </c>
      <c r="F76" s="184">
        <f t="shared" si="31"/>
        <v>-292735.2388759351</v>
      </c>
      <c r="G76" s="184">
        <f t="shared" si="31"/>
        <v>-185583.98992086636</v>
      </c>
      <c r="H76" s="184">
        <f t="shared" si="31"/>
        <v>-184467.0774131121</v>
      </c>
      <c r="I76" s="184">
        <f t="shared" si="31"/>
        <v>-103747.51743953042</v>
      </c>
      <c r="J76" s="184">
        <f t="shared" si="31"/>
        <v>-22981.493905626183</v>
      </c>
      <c r="K76" s="184">
        <f t="shared" si="31"/>
        <v>-21725.119234503683</v>
      </c>
      <c r="L76" s="184">
        <f t="shared" si="31"/>
        <v>-20418.48957653629</v>
      </c>
      <c r="M76" s="184">
        <f t="shared" si="31"/>
        <v>-19059.5947322502</v>
      </c>
      <c r="N76" s="184">
        <f t="shared" si="31"/>
        <v>-17646.344094192664</v>
      </c>
      <c r="O76" s="184">
        <f t="shared" si="31"/>
        <v>-16176.56343061283</v>
      </c>
      <c r="P76" s="184">
        <f t="shared" si="31"/>
        <v>-14647.9915404898</v>
      </c>
      <c r="Q76" s="184">
        <f t="shared" si="31"/>
        <v>-13058.276774761853</v>
      </c>
      <c r="R76" s="184">
        <f t="shared" si="31"/>
        <v>-11404.973418404783</v>
      </c>
      <c r="S76" s="184">
        <f t="shared" si="31"/>
        <v>-9685.537927793432</v>
      </c>
      <c r="T76" s="184">
        <f t="shared" si="31"/>
        <v>-7897.325017557627</v>
      </c>
      <c r="U76" s="184">
        <f t="shared" si="31"/>
        <v>-6037.583590912389</v>
      </c>
      <c r="V76" s="184">
        <f t="shared" si="31"/>
        <v>-4103.452507201341</v>
      </c>
      <c r="W76" s="184">
        <f t="shared" si="31"/>
        <v>-2091.956180141853</v>
      </c>
      <c r="X76" s="184">
        <f t="shared" si="31"/>
        <v>0</v>
      </c>
      <c r="Y76" s="184">
        <f t="shared" si="31"/>
        <v>0</v>
      </c>
      <c r="Z76" s="184">
        <f t="shared" si="31"/>
        <v>0</v>
      </c>
      <c r="AA76" s="184">
        <f t="shared" si="31"/>
        <v>0</v>
      </c>
      <c r="AB76" s="184">
        <f t="shared" si="31"/>
        <v>0</v>
      </c>
      <c r="AC76" s="184">
        <f t="shared" si="31"/>
        <v>0</v>
      </c>
      <c r="AD76" s="184">
        <f t="shared" si="31"/>
        <v>0</v>
      </c>
      <c r="AE76" s="184">
        <f t="shared" si="31"/>
        <v>0</v>
      </c>
      <c r="AF76" s="184">
        <f t="shared" si="31"/>
        <v>0</v>
      </c>
      <c r="AG76" s="184">
        <f t="shared" si="31"/>
        <v>0</v>
      </c>
      <c r="AH76" s="184">
        <f t="shared" si="31"/>
        <v>0</v>
      </c>
      <c r="AI76" s="184">
        <f t="shared" si="31"/>
        <v>0</v>
      </c>
      <c r="AJ76" s="184">
        <f t="shared" si="31"/>
        <v>0</v>
      </c>
      <c r="AK76" s="184">
        <f t="shared" si="31"/>
        <v>0</v>
      </c>
      <c r="AL76" s="184">
        <f t="shared" si="31"/>
        <v>0</v>
      </c>
      <c r="AM76" s="184">
        <f t="shared" si="31"/>
        <v>0</v>
      </c>
      <c r="AN76" s="184">
        <f t="shared" si="31"/>
        <v>0</v>
      </c>
      <c r="AO76" s="184">
        <f t="shared" si="31"/>
        <v>0</v>
      </c>
      <c r="AP76" s="184">
        <f t="shared" si="31"/>
        <v>0</v>
      </c>
      <c r="AQ76" s="184">
        <f t="shared" si="31"/>
        <v>0</v>
      </c>
      <c r="AR76" s="21"/>
      <c r="AS76" s="193"/>
      <c r="AT76" s="153"/>
      <c r="AU76" s="153"/>
    </row>
    <row r="77" spans="2:47" s="126" customFormat="1" ht="12">
      <c r="B77" s="12" t="s">
        <v>108</v>
      </c>
      <c r="C77" s="198">
        <f>+H7</f>
        <v>0.35</v>
      </c>
      <c r="D77" s="184">
        <f>-D76*$C77</f>
        <v>107033.68781573272</v>
      </c>
      <c r="E77" s="184">
        <f aca="true" t="shared" si="32" ref="E77:AQ77">-E76*$C77</f>
        <v>164697.1824081007</v>
      </c>
      <c r="F77" s="184">
        <f t="shared" si="32"/>
        <v>102457.33360657727</v>
      </c>
      <c r="G77" s="184">
        <f t="shared" si="32"/>
        <v>64954.39647230322</v>
      </c>
      <c r="H77" s="184">
        <f t="shared" si="32"/>
        <v>64563.47709458923</v>
      </c>
      <c r="I77" s="184">
        <f t="shared" si="32"/>
        <v>36311.63110383564</v>
      </c>
      <c r="J77" s="184">
        <f t="shared" si="32"/>
        <v>8043.522866969163</v>
      </c>
      <c r="K77" s="184">
        <f t="shared" si="32"/>
        <v>7603.791732076289</v>
      </c>
      <c r="L77" s="184">
        <f t="shared" si="32"/>
        <v>7146.471351787701</v>
      </c>
      <c r="M77" s="184">
        <f t="shared" si="32"/>
        <v>6670.85815628757</v>
      </c>
      <c r="N77" s="184">
        <f t="shared" si="32"/>
        <v>6176.220432967432</v>
      </c>
      <c r="O77" s="184">
        <f t="shared" si="32"/>
        <v>5661.79720071449</v>
      </c>
      <c r="P77" s="184">
        <f t="shared" si="32"/>
        <v>5126.79703917143</v>
      </c>
      <c r="Q77" s="184">
        <f t="shared" si="32"/>
        <v>4570.396871166648</v>
      </c>
      <c r="R77" s="184">
        <f t="shared" si="32"/>
        <v>3991.7406964416737</v>
      </c>
      <c r="S77" s="184">
        <f t="shared" si="32"/>
        <v>3389.938274727701</v>
      </c>
      <c r="T77" s="184">
        <f t="shared" si="32"/>
        <v>2764.063756145169</v>
      </c>
      <c r="U77" s="184">
        <f t="shared" si="32"/>
        <v>2113.154256819336</v>
      </c>
      <c r="V77" s="184">
        <f t="shared" si="32"/>
        <v>1436.2083775204694</v>
      </c>
      <c r="W77" s="184">
        <f t="shared" si="32"/>
        <v>732.1846630496485</v>
      </c>
      <c r="X77" s="184">
        <f t="shared" si="32"/>
        <v>0</v>
      </c>
      <c r="Y77" s="184">
        <f t="shared" si="32"/>
        <v>0</v>
      </c>
      <c r="Z77" s="184">
        <f t="shared" si="32"/>
        <v>0</v>
      </c>
      <c r="AA77" s="184">
        <f t="shared" si="32"/>
        <v>0</v>
      </c>
      <c r="AB77" s="184">
        <f t="shared" si="32"/>
        <v>0</v>
      </c>
      <c r="AC77" s="184">
        <f t="shared" si="32"/>
        <v>0</v>
      </c>
      <c r="AD77" s="184">
        <f t="shared" si="32"/>
        <v>0</v>
      </c>
      <c r="AE77" s="184">
        <f t="shared" si="32"/>
        <v>0</v>
      </c>
      <c r="AF77" s="184">
        <f t="shared" si="32"/>
        <v>0</v>
      </c>
      <c r="AG77" s="184">
        <f t="shared" si="32"/>
        <v>0</v>
      </c>
      <c r="AH77" s="184">
        <f t="shared" si="32"/>
        <v>0</v>
      </c>
      <c r="AI77" s="184">
        <f t="shared" si="32"/>
        <v>0</v>
      </c>
      <c r="AJ77" s="184">
        <f t="shared" si="32"/>
        <v>0</v>
      </c>
      <c r="AK77" s="184">
        <f t="shared" si="32"/>
        <v>0</v>
      </c>
      <c r="AL77" s="184">
        <f t="shared" si="32"/>
        <v>0</v>
      </c>
      <c r="AM77" s="184">
        <f t="shared" si="32"/>
        <v>0</v>
      </c>
      <c r="AN77" s="184">
        <f t="shared" si="32"/>
        <v>0</v>
      </c>
      <c r="AO77" s="184">
        <f t="shared" si="32"/>
        <v>0</v>
      </c>
      <c r="AP77" s="184">
        <f t="shared" si="32"/>
        <v>0</v>
      </c>
      <c r="AQ77" s="184">
        <f t="shared" si="32"/>
        <v>0</v>
      </c>
      <c r="AR77" s="21"/>
      <c r="AS77" s="193"/>
      <c r="AT77" s="153"/>
      <c r="AU77" s="153"/>
    </row>
    <row r="78" spans="2:47" s="126" customFormat="1" ht="12">
      <c r="B78" s="12" t="s">
        <v>109</v>
      </c>
      <c r="C78" s="23"/>
      <c r="D78" s="184">
        <f>IF($C$17&gt;=D31,H10*C10,0)*0.75</f>
        <v>392142.9956896551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1"/>
      <c r="AS78" s="193"/>
      <c r="AT78" s="153"/>
      <c r="AU78" s="153"/>
    </row>
    <row r="79" spans="2:47" s="126" customFormat="1" ht="12">
      <c r="B79" s="9" t="s">
        <v>110</v>
      </c>
      <c r="C79" s="23"/>
      <c r="D79" s="26">
        <f aca="true" t="shared" si="33" ref="D79:AQ79">+D78+D77+D67</f>
        <v>521023.40550969815</v>
      </c>
      <c r="E79" s="26">
        <f t="shared" si="33"/>
        <v>198509.04624529168</v>
      </c>
      <c r="F79" s="26">
        <f t="shared" si="33"/>
        <v>123378.7645706538</v>
      </c>
      <c r="G79" s="26">
        <f t="shared" si="33"/>
        <v>78113.84781385795</v>
      </c>
      <c r="H79" s="26">
        <f t="shared" si="33"/>
        <v>77654.787885273</v>
      </c>
      <c r="I79" s="26">
        <f t="shared" si="33"/>
        <v>43559.73082506191</v>
      </c>
      <c r="J79" s="26">
        <f t="shared" si="33"/>
        <v>9445.57687182169</v>
      </c>
      <c r="K79" s="26">
        <f t="shared" si="33"/>
        <v>8929.196884313915</v>
      </c>
      <c r="L79" s="26">
        <f t="shared" si="33"/>
        <v>8392.16169730583</v>
      </c>
      <c r="M79" s="26">
        <f t="shared" si="33"/>
        <v>7833.645102817423</v>
      </c>
      <c r="N79" s="26">
        <f t="shared" si="33"/>
        <v>7252.787844549478</v>
      </c>
      <c r="O79" s="26">
        <f t="shared" si="33"/>
        <v>6648.696295950816</v>
      </c>
      <c r="P79" s="26">
        <f t="shared" si="33"/>
        <v>6020.441085408208</v>
      </c>
      <c r="Q79" s="26">
        <f t="shared" si="33"/>
        <v>5367.055666443897</v>
      </c>
      <c r="R79" s="26">
        <f t="shared" si="33"/>
        <v>4687.534830721011</v>
      </c>
      <c r="S79" s="26">
        <f t="shared" si="33"/>
        <v>3980.83316156921</v>
      </c>
      <c r="T79" s="26">
        <f t="shared" si="33"/>
        <v>3245.8634256513374</v>
      </c>
      <c r="U79" s="26">
        <f t="shared" si="33"/>
        <v>2481.4949002967496</v>
      </c>
      <c r="V79" s="26">
        <f t="shared" si="33"/>
        <v>1686.5516339279784</v>
      </c>
      <c r="W79" s="26">
        <f t="shared" si="33"/>
        <v>859.8106369044565</v>
      </c>
      <c r="X79" s="26">
        <f t="shared" si="33"/>
        <v>0</v>
      </c>
      <c r="Y79" s="26">
        <f t="shared" si="33"/>
        <v>0</v>
      </c>
      <c r="Z79" s="26">
        <f t="shared" si="33"/>
        <v>0</v>
      </c>
      <c r="AA79" s="26">
        <f t="shared" si="33"/>
        <v>0</v>
      </c>
      <c r="AB79" s="26">
        <f t="shared" si="33"/>
        <v>0</v>
      </c>
      <c r="AC79" s="26">
        <f t="shared" si="33"/>
        <v>0</v>
      </c>
      <c r="AD79" s="26">
        <f t="shared" si="33"/>
        <v>0</v>
      </c>
      <c r="AE79" s="26">
        <f t="shared" si="33"/>
        <v>0</v>
      </c>
      <c r="AF79" s="26">
        <f t="shared" si="33"/>
        <v>0</v>
      </c>
      <c r="AG79" s="26">
        <f t="shared" si="33"/>
        <v>0</v>
      </c>
      <c r="AH79" s="26">
        <f t="shared" si="33"/>
        <v>0</v>
      </c>
      <c r="AI79" s="26">
        <f t="shared" si="33"/>
        <v>0</v>
      </c>
      <c r="AJ79" s="26">
        <f t="shared" si="33"/>
        <v>0</v>
      </c>
      <c r="AK79" s="26">
        <f t="shared" si="33"/>
        <v>0</v>
      </c>
      <c r="AL79" s="26">
        <f t="shared" si="33"/>
        <v>0</v>
      </c>
      <c r="AM79" s="26">
        <f t="shared" si="33"/>
        <v>0</v>
      </c>
      <c r="AN79" s="26">
        <f t="shared" si="33"/>
        <v>0</v>
      </c>
      <c r="AO79" s="26">
        <f t="shared" si="33"/>
        <v>0</v>
      </c>
      <c r="AP79" s="26">
        <f t="shared" si="33"/>
        <v>0</v>
      </c>
      <c r="AQ79" s="26">
        <f t="shared" si="33"/>
        <v>0</v>
      </c>
      <c r="AR79" s="21"/>
      <c r="AS79" s="193"/>
      <c r="AT79" s="153"/>
      <c r="AU79" s="153"/>
    </row>
    <row r="80" spans="2:47" s="126" customFormat="1" ht="12">
      <c r="B80" s="1"/>
      <c r="C80" s="16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177"/>
      <c r="AS80" s="201"/>
      <c r="AT80" s="201"/>
      <c r="AU80" s="201"/>
    </row>
    <row r="81" spans="2:47" s="126" customFormat="1" ht="12">
      <c r="B81" s="196" t="s">
        <v>75</v>
      </c>
      <c r="C81" s="197">
        <v>0</v>
      </c>
      <c r="D81" s="197">
        <v>1</v>
      </c>
      <c r="E81" s="197">
        <v>2</v>
      </c>
      <c r="F81" s="197">
        <v>3</v>
      </c>
      <c r="G81" s="197">
        <v>4</v>
      </c>
      <c r="H81" s="197">
        <v>5</v>
      </c>
      <c r="I81" s="197">
        <v>6</v>
      </c>
      <c r="J81" s="197">
        <v>7</v>
      </c>
      <c r="K81" s="197">
        <v>8</v>
      </c>
      <c r="L81" s="197">
        <v>9</v>
      </c>
      <c r="M81" s="197">
        <v>10</v>
      </c>
      <c r="N81" s="197">
        <v>11</v>
      </c>
      <c r="O81" s="197">
        <v>12</v>
      </c>
      <c r="P81" s="197">
        <v>13</v>
      </c>
      <c r="Q81" s="197">
        <v>14</v>
      </c>
      <c r="R81" s="197">
        <v>15</v>
      </c>
      <c r="S81" s="197">
        <v>16</v>
      </c>
      <c r="T81" s="197">
        <v>17</v>
      </c>
      <c r="U81" s="197">
        <v>18</v>
      </c>
      <c r="V81" s="197">
        <v>19</v>
      </c>
      <c r="W81" s="197">
        <v>20</v>
      </c>
      <c r="X81" s="197">
        <v>21</v>
      </c>
      <c r="Y81" s="197">
        <v>22</v>
      </c>
      <c r="Z81" s="197">
        <v>23</v>
      </c>
      <c r="AA81" s="197">
        <v>24</v>
      </c>
      <c r="AB81" s="197">
        <v>25</v>
      </c>
      <c r="AC81" s="197">
        <v>26</v>
      </c>
      <c r="AD81" s="197">
        <v>27</v>
      </c>
      <c r="AE81" s="197">
        <v>28</v>
      </c>
      <c r="AF81" s="197">
        <v>29</v>
      </c>
      <c r="AG81" s="197">
        <v>30</v>
      </c>
      <c r="AH81" s="197">
        <v>31</v>
      </c>
      <c r="AI81" s="197">
        <v>32</v>
      </c>
      <c r="AJ81" s="197">
        <v>33</v>
      </c>
      <c r="AK81" s="197">
        <v>34</v>
      </c>
      <c r="AL81" s="197">
        <v>35</v>
      </c>
      <c r="AM81" s="197">
        <v>36</v>
      </c>
      <c r="AN81" s="197">
        <v>37</v>
      </c>
      <c r="AO81" s="197">
        <v>38</v>
      </c>
      <c r="AP81" s="197">
        <v>39</v>
      </c>
      <c r="AQ81" s="197">
        <v>40</v>
      </c>
      <c r="AR81" s="21"/>
      <c r="AT81" s="36"/>
      <c r="AU81" s="36"/>
    </row>
    <row r="82" spans="2:58" s="155" customFormat="1" ht="15" customHeight="1">
      <c r="B82" s="300" t="s">
        <v>80</v>
      </c>
      <c r="C82" s="155">
        <f>C57</f>
        <v>-958571.7672413792</v>
      </c>
      <c r="D82" s="155">
        <f aca="true" t="shared" si="34" ref="D82:X82">D49</f>
        <v>-57709.13600391359</v>
      </c>
      <c r="E82" s="155">
        <f t="shared" si="34"/>
        <v>-57709.13600391359</v>
      </c>
      <c r="F82" s="155">
        <f t="shared" si="34"/>
        <v>-57709.13600391359</v>
      </c>
      <c r="G82" s="155">
        <f t="shared" si="34"/>
        <v>-57709.13600391359</v>
      </c>
      <c r="H82" s="155">
        <f t="shared" si="34"/>
        <v>-57709.13600391359</v>
      </c>
      <c r="I82" s="155">
        <f t="shared" si="34"/>
        <v>-57709.13600391359</v>
      </c>
      <c r="J82" s="155">
        <f t="shared" si="34"/>
        <v>-57709.13600391359</v>
      </c>
      <c r="K82" s="155">
        <f t="shared" si="34"/>
        <v>-57709.13600391359</v>
      </c>
      <c r="L82" s="155">
        <f t="shared" si="34"/>
        <v>-57709.13600391359</v>
      </c>
      <c r="M82" s="155">
        <f t="shared" si="34"/>
        <v>-57709.13600391359</v>
      </c>
      <c r="N82" s="155">
        <f t="shared" si="34"/>
        <v>-57709.13600391359</v>
      </c>
      <c r="O82" s="155">
        <f t="shared" si="34"/>
        <v>-57709.13600391359</v>
      </c>
      <c r="P82" s="155">
        <f t="shared" si="34"/>
        <v>-57709.13600391359</v>
      </c>
      <c r="Q82" s="155">
        <f t="shared" si="34"/>
        <v>-57709.13600391359</v>
      </c>
      <c r="R82" s="155">
        <f t="shared" si="34"/>
        <v>-57709.13600391359</v>
      </c>
      <c r="S82" s="155">
        <f t="shared" si="34"/>
        <v>-57709.13600391359</v>
      </c>
      <c r="T82" s="155">
        <f t="shared" si="34"/>
        <v>-57709.13600391359</v>
      </c>
      <c r="U82" s="155">
        <f t="shared" si="34"/>
        <v>-57709.13600391359</v>
      </c>
      <c r="V82" s="155">
        <f t="shared" si="34"/>
        <v>-57709.13600391359</v>
      </c>
      <c r="W82" s="155">
        <f t="shared" si="34"/>
        <v>-57709.13600391359</v>
      </c>
      <c r="X82" s="155">
        <f t="shared" si="34"/>
        <v>0</v>
      </c>
      <c r="Y82" s="155">
        <f>Y49+Y42</f>
        <v>0</v>
      </c>
      <c r="Z82" s="155">
        <f aca="true" t="shared" si="35" ref="Z82:AQ82">Z42+Z49</f>
        <v>0</v>
      </c>
      <c r="AA82" s="155">
        <f t="shared" si="35"/>
        <v>0</v>
      </c>
      <c r="AB82" s="155">
        <f t="shared" si="35"/>
        <v>0</v>
      </c>
      <c r="AC82" s="155">
        <f t="shared" si="35"/>
        <v>0</v>
      </c>
      <c r="AD82" s="155">
        <f t="shared" si="35"/>
        <v>0</v>
      </c>
      <c r="AE82" s="155">
        <f t="shared" si="35"/>
        <v>0</v>
      </c>
      <c r="AF82" s="155">
        <f t="shared" si="35"/>
        <v>0</v>
      </c>
      <c r="AG82" s="155">
        <f t="shared" si="35"/>
        <v>0</v>
      </c>
      <c r="AH82" s="155">
        <f t="shared" si="35"/>
        <v>0</v>
      </c>
      <c r="AI82" s="155">
        <f t="shared" si="35"/>
        <v>0</v>
      </c>
      <c r="AJ82" s="155">
        <f t="shared" si="35"/>
        <v>0</v>
      </c>
      <c r="AK82" s="155">
        <f t="shared" si="35"/>
        <v>0</v>
      </c>
      <c r="AL82" s="155">
        <f t="shared" si="35"/>
        <v>0</v>
      </c>
      <c r="AM82" s="155">
        <f t="shared" si="35"/>
        <v>0</v>
      </c>
      <c r="AN82" s="155">
        <f t="shared" si="35"/>
        <v>0</v>
      </c>
      <c r="AO82" s="155">
        <f t="shared" si="35"/>
        <v>0</v>
      </c>
      <c r="AP82" s="155">
        <f t="shared" si="35"/>
        <v>0</v>
      </c>
      <c r="AQ82" s="155">
        <f t="shared" si="35"/>
        <v>0</v>
      </c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</row>
    <row r="83" spans="2:58" s="155" customFormat="1" ht="12">
      <c r="B83" s="300" t="s">
        <v>367</v>
      </c>
      <c r="D83" s="155">
        <f>$M$7+($M8*D$33)</f>
        <v>74341.01674137931</v>
      </c>
      <c r="E83" s="155">
        <f>($M9*E$33)</f>
        <v>73820.62962418965</v>
      </c>
      <c r="F83" s="155">
        <f>($M10*F$33)</f>
        <v>73303.88521682032</v>
      </c>
      <c r="G83" s="155">
        <f>($M11*G$33)</f>
        <v>72790.75802030257</v>
      </c>
      <c r="H83" s="155">
        <f>($M12*H$33)</f>
        <v>72281.22271416045</v>
      </c>
      <c r="I83" s="155">
        <f>($M13*I$33)</f>
        <v>0</v>
      </c>
      <c r="J83" s="155">
        <f>($M14*J$33)</f>
        <v>0</v>
      </c>
      <c r="K83" s="155">
        <f>($M15*K$33)</f>
        <v>0</v>
      </c>
      <c r="L83" s="155">
        <f>($M16*L$33)</f>
        <v>0</v>
      </c>
      <c r="M83" s="155">
        <f>($M17*M$33)</f>
        <v>0</v>
      </c>
      <c r="N83" s="155">
        <f>($M18*N$33)</f>
        <v>0</v>
      </c>
      <c r="O83" s="155">
        <f>($M19*O$33)</f>
        <v>0</v>
      </c>
      <c r="P83" s="155">
        <f>($M20*P$33)</f>
        <v>0</v>
      </c>
      <c r="Q83" s="155">
        <f>($M21*Q$33)</f>
        <v>0</v>
      </c>
      <c r="R83" s="155">
        <f>($M22*R$33)</f>
        <v>0</v>
      </c>
      <c r="S83" s="155">
        <f>($M23*S$33)</f>
        <v>0</v>
      </c>
      <c r="T83" s="155">
        <f>($M24*T$33)</f>
        <v>0</v>
      </c>
      <c r="U83" s="155">
        <f>($M25*U$33)</f>
        <v>0</v>
      </c>
      <c r="V83" s="155">
        <f>($M26*V$33)</f>
        <v>0</v>
      </c>
      <c r="W83" s="155">
        <f>($M27*W$33)</f>
        <v>0</v>
      </c>
      <c r="X83" s="155">
        <f>($M8*X$33)</f>
        <v>0</v>
      </c>
      <c r="Y83" s="155">
        <f>20*Y33</f>
        <v>0</v>
      </c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</row>
    <row r="84" spans="2:58" s="155" customFormat="1" ht="12">
      <c r="B84" s="300" t="s">
        <v>112</v>
      </c>
      <c r="D84" s="155">
        <f aca="true" t="shared" si="36" ref="D84:AQ84">-((D42+D45-D64+D48)*$H$8)</f>
        <v>24385.48480603448</v>
      </c>
      <c r="E84" s="155">
        <f t="shared" si="36"/>
        <v>36352.96497307462</v>
      </c>
      <c r="F84" s="155">
        <f t="shared" si="36"/>
        <v>23465.551891503255</v>
      </c>
      <c r="G84" s="155">
        <f t="shared" si="36"/>
        <v>15707.28714705585</v>
      </c>
      <c r="H84" s="155">
        <f t="shared" si="36"/>
        <v>15643.570462521215</v>
      </c>
      <c r="I84" s="155">
        <f t="shared" si="36"/>
        <v>9805.506427427177</v>
      </c>
      <c r="J84" s="155">
        <f t="shared" si="36"/>
        <v>3965.345376804608</v>
      </c>
      <c r="K84" s="155">
        <f t="shared" si="36"/>
        <v>3895.3335739563354</v>
      </c>
      <c r="L84" s="155">
        <f t="shared" si="36"/>
        <v>3823.0232486992304</v>
      </c>
      <c r="M84" s="155">
        <f t="shared" si="36"/>
        <v>3748.3071115030248</v>
      </c>
      <c r="N84" s="155">
        <f t="shared" si="36"/>
        <v>3988.4186244990774</v>
      </c>
      <c r="O84" s="155">
        <f t="shared" si="36"/>
        <v>3908.5504105366986</v>
      </c>
      <c r="P84" s="155">
        <f t="shared" si="36"/>
        <v>3825.926156668589</v>
      </c>
      <c r="Q84" s="155">
        <f t="shared" si="36"/>
        <v>3740.419007443558</v>
      </c>
      <c r="R84" s="155">
        <f t="shared" si="36"/>
        <v>3651.8967009152652</v>
      </c>
      <c r="S84" s="155">
        <f t="shared" si="36"/>
        <v>3560.2213457368803</v>
      </c>
      <c r="T84" s="155">
        <f t="shared" si="36"/>
        <v>3465.2491892066023</v>
      </c>
      <c r="U84" s="155">
        <f t="shared" si="36"/>
        <v>3366.8303758994416</v>
      </c>
      <c r="V84" s="155">
        <f t="shared" si="36"/>
        <v>3264.8086965059956</v>
      </c>
      <c r="W84" s="155">
        <f t="shared" si="36"/>
        <v>3159.021326483716</v>
      </c>
      <c r="X84" s="155">
        <f t="shared" si="36"/>
        <v>0</v>
      </c>
      <c r="Y84" s="155">
        <f t="shared" si="36"/>
        <v>0</v>
      </c>
      <c r="Z84" s="155">
        <f t="shared" si="36"/>
        <v>0</v>
      </c>
      <c r="AA84" s="155">
        <f t="shared" si="36"/>
        <v>0</v>
      </c>
      <c r="AB84" s="155">
        <f t="shared" si="36"/>
        <v>0</v>
      </c>
      <c r="AC84" s="155">
        <f t="shared" si="36"/>
        <v>0</v>
      </c>
      <c r="AD84" s="155">
        <f t="shared" si="36"/>
        <v>0</v>
      </c>
      <c r="AE84" s="155">
        <f t="shared" si="36"/>
        <v>0</v>
      </c>
      <c r="AF84" s="155">
        <f t="shared" si="36"/>
        <v>0</v>
      </c>
      <c r="AG84" s="155">
        <f t="shared" si="36"/>
        <v>0</v>
      </c>
      <c r="AH84" s="155">
        <f t="shared" si="36"/>
        <v>0</v>
      </c>
      <c r="AI84" s="155">
        <f t="shared" si="36"/>
        <v>0</v>
      </c>
      <c r="AJ84" s="155">
        <f t="shared" si="36"/>
        <v>0</v>
      </c>
      <c r="AK84" s="155">
        <f t="shared" si="36"/>
        <v>0</v>
      </c>
      <c r="AL84" s="155">
        <f t="shared" si="36"/>
        <v>0</v>
      </c>
      <c r="AM84" s="155">
        <f t="shared" si="36"/>
        <v>0</v>
      </c>
      <c r="AN84" s="155">
        <f t="shared" si="36"/>
        <v>0</v>
      </c>
      <c r="AO84" s="155">
        <f t="shared" si="36"/>
        <v>0</v>
      </c>
      <c r="AP84" s="155">
        <f t="shared" si="36"/>
        <v>0</v>
      </c>
      <c r="AQ84" s="155">
        <f t="shared" si="36"/>
        <v>0</v>
      </c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</row>
    <row r="85" spans="2:58" s="155" customFormat="1" ht="12">
      <c r="B85" s="155" t="s">
        <v>113</v>
      </c>
      <c r="D85" s="155">
        <f aca="true" t="shared" si="37" ref="D85:AQ85">-((D42+D45-D73+D48+D84)*$H$7-D78)</f>
        <v>513741.45531788777</v>
      </c>
      <c r="E85" s="155">
        <f t="shared" si="37"/>
        <v>179275.36914200697</v>
      </c>
      <c r="F85" s="155">
        <f t="shared" si="37"/>
        <v>117052.84475327101</v>
      </c>
      <c r="G85" s="155">
        <f t="shared" si="37"/>
        <v>79571.21971299335</v>
      </c>
      <c r="H85" s="155">
        <f t="shared" si="37"/>
        <v>79205.67986410877</v>
      </c>
      <c r="I85" s="155">
        <f t="shared" si="37"/>
        <v>50983.36218571434</v>
      </c>
      <c r="J85" s="155">
        <f t="shared" si="37"/>
        <v>22749.014020407303</v>
      </c>
      <c r="K85" s="155">
        <f t="shared" si="37"/>
        <v>22347.35935145819</v>
      </c>
      <c r="L85" s="155">
        <f t="shared" si="37"/>
        <v>21932.518159385363</v>
      </c>
      <c r="M85" s="155">
        <f t="shared" si="37"/>
        <v>21503.874928818437</v>
      </c>
      <c r="N85" s="155">
        <f t="shared" si="37"/>
        <v>22881.384239245792</v>
      </c>
      <c r="O85" s="155">
        <f t="shared" si="37"/>
        <v>22423.183768274666</v>
      </c>
      <c r="P85" s="155">
        <f t="shared" si="37"/>
        <v>21949.172016192184</v>
      </c>
      <c r="Q85" s="155">
        <f t="shared" si="37"/>
        <v>21458.62121879032</v>
      </c>
      <c r="R85" s="155">
        <f t="shared" si="37"/>
        <v>20950.772595033442</v>
      </c>
      <c r="S85" s="155">
        <f t="shared" si="37"/>
        <v>20424.835068260058</v>
      </c>
      <c r="T85" s="155">
        <f t="shared" si="37"/>
        <v>19879.98393547005</v>
      </c>
      <c r="U85" s="155">
        <f t="shared" si="37"/>
        <v>19315.359482605705</v>
      </c>
      <c r="V85" s="155">
        <f t="shared" si="37"/>
        <v>18730.0655436507</v>
      </c>
      <c r="W85" s="155">
        <f t="shared" si="37"/>
        <v>18123.16800128375</v>
      </c>
      <c r="X85" s="155">
        <f t="shared" si="37"/>
        <v>0</v>
      </c>
      <c r="Y85" s="155">
        <f t="shared" si="37"/>
        <v>0</v>
      </c>
      <c r="Z85" s="155">
        <f t="shared" si="37"/>
        <v>0</v>
      </c>
      <c r="AA85" s="155">
        <f t="shared" si="37"/>
        <v>0</v>
      </c>
      <c r="AB85" s="155">
        <f t="shared" si="37"/>
        <v>0</v>
      </c>
      <c r="AC85" s="155">
        <f t="shared" si="37"/>
        <v>0</v>
      </c>
      <c r="AD85" s="155">
        <f t="shared" si="37"/>
        <v>0</v>
      </c>
      <c r="AE85" s="155">
        <f t="shared" si="37"/>
        <v>0</v>
      </c>
      <c r="AF85" s="155">
        <f t="shared" si="37"/>
        <v>0</v>
      </c>
      <c r="AG85" s="155">
        <f t="shared" si="37"/>
        <v>0</v>
      </c>
      <c r="AH85" s="155">
        <f t="shared" si="37"/>
        <v>0</v>
      </c>
      <c r="AI85" s="155">
        <f t="shared" si="37"/>
        <v>0</v>
      </c>
      <c r="AJ85" s="155">
        <f t="shared" si="37"/>
        <v>0</v>
      </c>
      <c r="AK85" s="155">
        <f t="shared" si="37"/>
        <v>0</v>
      </c>
      <c r="AL85" s="155">
        <f t="shared" si="37"/>
        <v>0</v>
      </c>
      <c r="AM85" s="155">
        <f t="shared" si="37"/>
        <v>0</v>
      </c>
      <c r="AN85" s="155">
        <f t="shared" si="37"/>
        <v>0</v>
      </c>
      <c r="AO85" s="155">
        <f t="shared" si="37"/>
        <v>0</v>
      </c>
      <c r="AP85" s="155">
        <f t="shared" si="37"/>
        <v>0</v>
      </c>
      <c r="AQ85" s="155">
        <f t="shared" si="37"/>
        <v>0</v>
      </c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</row>
    <row r="86" spans="2:58" s="155" customFormat="1" ht="12">
      <c r="B86" s="300" t="s">
        <v>148</v>
      </c>
      <c r="D86" s="155">
        <f>D85+D84</f>
        <v>538126.9401239222</v>
      </c>
      <c r="E86" s="155">
        <f aca="true" t="shared" si="38" ref="E86:AQ86">E85+E84</f>
        <v>215628.33411508158</v>
      </c>
      <c r="F86" s="155">
        <f t="shared" si="38"/>
        <v>140518.39664477427</v>
      </c>
      <c r="G86" s="155">
        <f t="shared" si="38"/>
        <v>95278.5068600492</v>
      </c>
      <c r="H86" s="155">
        <f t="shared" si="38"/>
        <v>94849.25032662998</v>
      </c>
      <c r="I86" s="155">
        <f t="shared" si="38"/>
        <v>60788.868613141516</v>
      </c>
      <c r="J86" s="155">
        <f t="shared" si="38"/>
        <v>26714.359397211912</v>
      </c>
      <c r="K86" s="155">
        <f t="shared" si="38"/>
        <v>26242.69292541453</v>
      </c>
      <c r="L86" s="155">
        <f t="shared" si="38"/>
        <v>25755.541408084595</v>
      </c>
      <c r="M86" s="155">
        <f t="shared" si="38"/>
        <v>25252.182040321462</v>
      </c>
      <c r="N86" s="155">
        <f t="shared" si="38"/>
        <v>26869.80286374487</v>
      </c>
      <c r="O86" s="155">
        <f t="shared" si="38"/>
        <v>26331.734178811366</v>
      </c>
      <c r="P86" s="155">
        <f t="shared" si="38"/>
        <v>25775.098172860773</v>
      </c>
      <c r="Q86" s="155">
        <f t="shared" si="38"/>
        <v>25199.040226233876</v>
      </c>
      <c r="R86" s="155">
        <f t="shared" si="38"/>
        <v>24602.669295948708</v>
      </c>
      <c r="S86" s="155">
        <f t="shared" si="38"/>
        <v>23985.05641399694</v>
      </c>
      <c r="T86" s="155">
        <f t="shared" si="38"/>
        <v>23345.23312467665</v>
      </c>
      <c r="U86" s="155">
        <f t="shared" si="38"/>
        <v>22682.189858505146</v>
      </c>
      <c r="V86" s="155">
        <f t="shared" si="38"/>
        <v>21994.874240156696</v>
      </c>
      <c r="W86" s="155">
        <f t="shared" si="38"/>
        <v>21282.189327767464</v>
      </c>
      <c r="X86" s="155">
        <f t="shared" si="38"/>
        <v>0</v>
      </c>
      <c r="Y86" s="155">
        <f t="shared" si="38"/>
        <v>0</v>
      </c>
      <c r="Z86" s="155">
        <f t="shared" si="38"/>
        <v>0</v>
      </c>
      <c r="AA86" s="155">
        <f t="shared" si="38"/>
        <v>0</v>
      </c>
      <c r="AB86" s="155">
        <f t="shared" si="38"/>
        <v>0</v>
      </c>
      <c r="AC86" s="155">
        <f t="shared" si="38"/>
        <v>0</v>
      </c>
      <c r="AD86" s="155">
        <f t="shared" si="38"/>
        <v>0</v>
      </c>
      <c r="AE86" s="155">
        <f t="shared" si="38"/>
        <v>0</v>
      </c>
      <c r="AF86" s="155">
        <f t="shared" si="38"/>
        <v>0</v>
      </c>
      <c r="AG86" s="155">
        <f t="shared" si="38"/>
        <v>0</v>
      </c>
      <c r="AH86" s="155">
        <f t="shared" si="38"/>
        <v>0</v>
      </c>
      <c r="AI86" s="155">
        <f t="shared" si="38"/>
        <v>0</v>
      </c>
      <c r="AJ86" s="155">
        <f t="shared" si="38"/>
        <v>0</v>
      </c>
      <c r="AK86" s="155">
        <f t="shared" si="38"/>
        <v>0</v>
      </c>
      <c r="AL86" s="155">
        <f t="shared" si="38"/>
        <v>0</v>
      </c>
      <c r="AM86" s="155">
        <f t="shared" si="38"/>
        <v>0</v>
      </c>
      <c r="AN86" s="155">
        <f t="shared" si="38"/>
        <v>0</v>
      </c>
      <c r="AO86" s="155">
        <f t="shared" si="38"/>
        <v>0</v>
      </c>
      <c r="AP86" s="155">
        <f t="shared" si="38"/>
        <v>0</v>
      </c>
      <c r="AQ86" s="155">
        <f t="shared" si="38"/>
        <v>0</v>
      </c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</row>
    <row r="87" spans="2:58" s="155" customFormat="1" ht="12">
      <c r="B87" s="300" t="s">
        <v>69</v>
      </c>
      <c r="C87" s="155">
        <f>C82</f>
        <v>-958571.7672413792</v>
      </c>
      <c r="D87" s="155">
        <f aca="true" t="shared" si="39" ref="D87:Z87">D82+D86+D83</f>
        <v>554758.8208613879</v>
      </c>
      <c r="E87" s="155">
        <f t="shared" si="39"/>
        <v>231739.82773535763</v>
      </c>
      <c r="F87" s="155">
        <f t="shared" si="39"/>
        <v>156113.145857681</v>
      </c>
      <c r="G87" s="155">
        <f t="shared" si="39"/>
        <v>110360.12887643818</v>
      </c>
      <c r="H87" s="155">
        <f t="shared" si="39"/>
        <v>109421.33703687684</v>
      </c>
      <c r="I87" s="155">
        <f t="shared" si="39"/>
        <v>3079.7326092279254</v>
      </c>
      <c r="J87" s="155">
        <f t="shared" si="39"/>
        <v>-30994.77660670168</v>
      </c>
      <c r="K87" s="155">
        <f t="shared" si="39"/>
        <v>-31466.44307849906</v>
      </c>
      <c r="L87" s="155">
        <f t="shared" si="39"/>
        <v>-31953.594595828996</v>
      </c>
      <c r="M87" s="155">
        <f t="shared" si="39"/>
        <v>-32456.95396359213</v>
      </c>
      <c r="N87" s="155">
        <f t="shared" si="39"/>
        <v>-30839.33314016872</v>
      </c>
      <c r="O87" s="155">
        <f t="shared" si="39"/>
        <v>-31377.401825102224</v>
      </c>
      <c r="P87" s="155">
        <f t="shared" si="39"/>
        <v>-31934.037831052818</v>
      </c>
      <c r="Q87" s="155">
        <f t="shared" si="39"/>
        <v>-32510.095777679715</v>
      </c>
      <c r="R87" s="155">
        <f t="shared" si="39"/>
        <v>-33106.46670796488</v>
      </c>
      <c r="S87" s="155">
        <f t="shared" si="39"/>
        <v>-33724.079589916655</v>
      </c>
      <c r="T87" s="155">
        <f t="shared" si="39"/>
        <v>-34363.902879236935</v>
      </c>
      <c r="U87" s="155">
        <f t="shared" si="39"/>
        <v>-35026.946145408445</v>
      </c>
      <c r="V87" s="155">
        <f t="shared" si="39"/>
        <v>-35714.26176375689</v>
      </c>
      <c r="W87" s="155">
        <f t="shared" si="39"/>
        <v>-36426.94667614612</v>
      </c>
      <c r="X87" s="155">
        <f t="shared" si="39"/>
        <v>0</v>
      </c>
      <c r="Y87" s="155">
        <f t="shared" si="39"/>
        <v>0</v>
      </c>
      <c r="Z87" s="155">
        <f t="shared" si="39"/>
        <v>0</v>
      </c>
      <c r="AA87" s="155">
        <f aca="true" t="shared" si="40" ref="AA87:AQ87">AA82+AA86</f>
        <v>0</v>
      </c>
      <c r="AB87" s="155">
        <f t="shared" si="40"/>
        <v>0</v>
      </c>
      <c r="AC87" s="155">
        <f t="shared" si="40"/>
        <v>0</v>
      </c>
      <c r="AD87" s="155">
        <f t="shared" si="40"/>
        <v>0</v>
      </c>
      <c r="AE87" s="155">
        <f t="shared" si="40"/>
        <v>0</v>
      </c>
      <c r="AF87" s="155">
        <f t="shared" si="40"/>
        <v>0</v>
      </c>
      <c r="AG87" s="155">
        <f t="shared" si="40"/>
        <v>0</v>
      </c>
      <c r="AH87" s="155">
        <f t="shared" si="40"/>
        <v>0</v>
      </c>
      <c r="AI87" s="155">
        <f t="shared" si="40"/>
        <v>0</v>
      </c>
      <c r="AJ87" s="155">
        <f t="shared" si="40"/>
        <v>0</v>
      </c>
      <c r="AK87" s="155">
        <f t="shared" si="40"/>
        <v>0</v>
      </c>
      <c r="AL87" s="155">
        <f t="shared" si="40"/>
        <v>0</v>
      </c>
      <c r="AM87" s="155">
        <f t="shared" si="40"/>
        <v>0</v>
      </c>
      <c r="AN87" s="155">
        <f t="shared" si="40"/>
        <v>0</v>
      </c>
      <c r="AO87" s="155">
        <f t="shared" si="40"/>
        <v>0</v>
      </c>
      <c r="AP87" s="155">
        <f t="shared" si="40"/>
        <v>0</v>
      </c>
      <c r="AQ87" s="155">
        <f t="shared" si="40"/>
        <v>0</v>
      </c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</row>
    <row r="88" spans="2:58" ht="12">
      <c r="B88" s="152" t="s">
        <v>92</v>
      </c>
      <c r="C88" s="298">
        <f>H20</f>
        <v>0.1075</v>
      </c>
      <c r="D88" s="113"/>
      <c r="E88" s="121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6"/>
      <c r="AS88" s="126"/>
      <c r="AT88" s="203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</row>
    <row r="89" spans="2:58" ht="12">
      <c r="B89" s="152" t="s">
        <v>70</v>
      </c>
      <c r="C89" s="316">
        <f>NPV(H18,$D$87:$AQ$87)+$C$87</f>
        <v>-158805.2082146391</v>
      </c>
      <c r="D89" s="204"/>
      <c r="E89" s="204"/>
      <c r="G89" s="205"/>
      <c r="H89" s="206"/>
      <c r="I89" s="2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</row>
    <row r="90" spans="2:58" ht="12">
      <c r="B90" s="173" t="s">
        <v>222</v>
      </c>
      <c r="C90" s="317">
        <f>SUM(C88,$D$33:$AL$33)</f>
        <v>13919.89398846947</v>
      </c>
      <c r="D90" s="207"/>
      <c r="E90" s="207"/>
      <c r="F90" s="12"/>
      <c r="G90" s="205"/>
      <c r="H90" s="206"/>
      <c r="I90" s="2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</row>
    <row r="91" spans="2:58" ht="12">
      <c r="B91" s="173" t="s">
        <v>223</v>
      </c>
      <c r="C91" s="318">
        <f>-C89/C90</f>
        <v>11.408507014937415</v>
      </c>
      <c r="D91" s="208"/>
      <c r="E91" s="208"/>
      <c r="F91" s="12"/>
      <c r="G91" s="209"/>
      <c r="H91" s="12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</row>
    <row r="92" spans="2:58" ht="12">
      <c r="B92" s="173" t="s">
        <v>71</v>
      </c>
      <c r="C92" s="318">
        <f>C91/(1-$H$9)</f>
        <v>18.622333425729305</v>
      </c>
      <c r="D92" s="208"/>
      <c r="E92" s="208"/>
      <c r="F92" s="175"/>
      <c r="G92" s="175"/>
      <c r="H92" s="175"/>
      <c r="I92" s="210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</row>
    <row r="93" spans="2:58" ht="12">
      <c r="B93" s="173" t="s">
        <v>369</v>
      </c>
      <c r="C93" s="25">
        <f>C92*(1+H21)</f>
        <v>19.932880140565008</v>
      </c>
      <c r="D93" s="25">
        <f>C93</f>
        <v>19.932880140565008</v>
      </c>
      <c r="E93" s="25">
        <f aca="true" t="shared" si="41" ref="E93:W93">D93</f>
        <v>19.932880140565008</v>
      </c>
      <c r="F93" s="25">
        <f t="shared" si="41"/>
        <v>19.932880140565008</v>
      </c>
      <c r="G93" s="25">
        <f t="shared" si="41"/>
        <v>19.932880140565008</v>
      </c>
      <c r="H93" s="25">
        <f t="shared" si="41"/>
        <v>19.932880140565008</v>
      </c>
      <c r="I93" s="25">
        <f t="shared" si="41"/>
        <v>19.932880140565008</v>
      </c>
      <c r="J93" s="25">
        <f t="shared" si="41"/>
        <v>19.932880140565008</v>
      </c>
      <c r="K93" s="25">
        <f t="shared" si="41"/>
        <v>19.932880140565008</v>
      </c>
      <c r="L93" s="25">
        <f t="shared" si="41"/>
        <v>19.932880140565008</v>
      </c>
      <c r="M93" s="25">
        <f t="shared" si="41"/>
        <v>19.932880140565008</v>
      </c>
      <c r="N93" s="25">
        <f t="shared" si="41"/>
        <v>19.932880140565008</v>
      </c>
      <c r="O93" s="25">
        <f t="shared" si="41"/>
        <v>19.932880140565008</v>
      </c>
      <c r="P93" s="25">
        <f t="shared" si="41"/>
        <v>19.932880140565008</v>
      </c>
      <c r="Q93" s="25">
        <f t="shared" si="41"/>
        <v>19.932880140565008</v>
      </c>
      <c r="R93" s="25">
        <f t="shared" si="41"/>
        <v>19.932880140565008</v>
      </c>
      <c r="S93" s="25">
        <f t="shared" si="41"/>
        <v>19.932880140565008</v>
      </c>
      <c r="T93" s="25">
        <f t="shared" si="41"/>
        <v>19.932880140565008</v>
      </c>
      <c r="U93" s="25">
        <f t="shared" si="41"/>
        <v>19.932880140565008</v>
      </c>
      <c r="V93" s="25">
        <f t="shared" si="41"/>
        <v>19.932880140565008</v>
      </c>
      <c r="W93" s="25">
        <f t="shared" si="41"/>
        <v>19.932880140565008</v>
      </c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</row>
    <row r="94" spans="2:58" ht="12">
      <c r="B94" s="173" t="s">
        <v>368</v>
      </c>
      <c r="C94" s="25"/>
      <c r="D94" s="25">
        <f aca="true" t="shared" si="42" ref="D94:W94">-(D42/D33)</f>
        <v>59.39170391672658</v>
      </c>
      <c r="E94" s="25">
        <f t="shared" si="42"/>
        <v>59.86546505731424</v>
      </c>
      <c r="F94" s="25">
        <f t="shared" si="42"/>
        <v>60.35912177871729</v>
      </c>
      <c r="G94" s="25">
        <f t="shared" si="42"/>
        <v>60.873370640541694</v>
      </c>
      <c r="H94" s="25">
        <f t="shared" si="42"/>
        <v>61.40892898718465</v>
      </c>
      <c r="I94" s="25">
        <f t="shared" si="42"/>
        <v>61.966535531261734</v>
      </c>
      <c r="J94" s="25">
        <f t="shared" si="42"/>
        <v>62.54695095306345</v>
      </c>
      <c r="K94" s="25">
        <f t="shared" si="42"/>
        <v>63.15095851647901</v>
      </c>
      <c r="L94" s="25">
        <f t="shared" si="42"/>
        <v>63.779364701835846</v>
      </c>
      <c r="M94" s="25">
        <f t="shared" si="42"/>
        <v>64.43299985611702</v>
      </c>
      <c r="N94" s="25">
        <f t="shared" si="42"/>
        <v>73.0769400514658</v>
      </c>
      <c r="O94" s="25">
        <f t="shared" si="42"/>
        <v>73.8397655560048</v>
      </c>
      <c r="P94" s="25">
        <f t="shared" si="42"/>
        <v>74.63085681142981</v>
      </c>
      <c r="Q94" s="25">
        <f t="shared" si="42"/>
        <v>75.45114928783751</v>
      </c>
      <c r="R94" s="25">
        <f t="shared" si="42"/>
        <v>76.30160587044378</v>
      </c>
      <c r="S94" s="25">
        <f t="shared" si="42"/>
        <v>77.18321762462205</v>
      </c>
      <c r="T94" s="25">
        <f t="shared" si="42"/>
        <v>78.09700458192123</v>
      </c>
      <c r="U94" s="25">
        <f t="shared" si="42"/>
        <v>79.04401654763558</v>
      </c>
      <c r="V94" s="25">
        <f t="shared" si="42"/>
        <v>80.025333930514</v>
      </c>
      <c r="W94" s="25">
        <f t="shared" si="42"/>
        <v>81.04206859521187</v>
      </c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</row>
    <row r="95" spans="2:58" ht="12">
      <c r="B95" s="173" t="s">
        <v>370</v>
      </c>
      <c r="C95" s="25"/>
      <c r="D95" s="25">
        <f aca="true" t="shared" si="43" ref="D95:W95">SUM(D93:D94)</f>
        <v>79.32458405729159</v>
      </c>
      <c r="E95" s="25">
        <f t="shared" si="43"/>
        <v>79.79834519787924</v>
      </c>
      <c r="F95" s="25">
        <f t="shared" si="43"/>
        <v>80.2920019192823</v>
      </c>
      <c r="G95" s="25">
        <f t="shared" si="43"/>
        <v>80.8062507811067</v>
      </c>
      <c r="H95" s="25">
        <f t="shared" si="43"/>
        <v>81.34180912774966</v>
      </c>
      <c r="I95" s="25">
        <f t="shared" si="43"/>
        <v>81.89941567182674</v>
      </c>
      <c r="J95" s="25">
        <f t="shared" si="43"/>
        <v>82.47983109362846</v>
      </c>
      <c r="K95" s="25">
        <f t="shared" si="43"/>
        <v>83.08383865704401</v>
      </c>
      <c r="L95" s="25">
        <f t="shared" si="43"/>
        <v>83.71224484240085</v>
      </c>
      <c r="M95" s="25">
        <f t="shared" si="43"/>
        <v>84.36587999668203</v>
      </c>
      <c r="N95" s="25">
        <f t="shared" si="43"/>
        <v>93.0098201920308</v>
      </c>
      <c r="O95" s="25">
        <f t="shared" si="43"/>
        <v>93.77264569656981</v>
      </c>
      <c r="P95" s="25">
        <f t="shared" si="43"/>
        <v>94.56373695199481</v>
      </c>
      <c r="Q95" s="25">
        <f t="shared" si="43"/>
        <v>95.38402942840251</v>
      </c>
      <c r="R95" s="25">
        <f t="shared" si="43"/>
        <v>96.23448601100878</v>
      </c>
      <c r="S95" s="25">
        <f t="shared" si="43"/>
        <v>97.11609776518705</v>
      </c>
      <c r="T95" s="25">
        <f t="shared" si="43"/>
        <v>98.02988472248623</v>
      </c>
      <c r="U95" s="25">
        <f t="shared" si="43"/>
        <v>98.97689668820058</v>
      </c>
      <c r="V95" s="25">
        <f t="shared" si="43"/>
        <v>99.958214071079</v>
      </c>
      <c r="W95" s="25">
        <f t="shared" si="43"/>
        <v>100.97494873577688</v>
      </c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</row>
    <row r="96" spans="2:58" ht="12">
      <c r="B96" s="152"/>
      <c r="C96" s="204"/>
      <c r="D96" s="209"/>
      <c r="E96" s="12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</row>
    <row r="97" spans="2:47" ht="12">
      <c r="B97" s="211" t="s">
        <v>21</v>
      </c>
      <c r="C97" s="212">
        <v>0</v>
      </c>
      <c r="D97" s="212">
        <v>1</v>
      </c>
      <c r="E97" s="212">
        <v>2</v>
      </c>
      <c r="F97" s="212">
        <v>3</v>
      </c>
      <c r="G97" s="212">
        <v>4</v>
      </c>
      <c r="H97" s="212">
        <v>5</v>
      </c>
      <c r="I97" s="212">
        <v>6</v>
      </c>
      <c r="J97" s="212">
        <v>7</v>
      </c>
      <c r="K97" s="212">
        <v>8</v>
      </c>
      <c r="L97" s="212">
        <v>9</v>
      </c>
      <c r="M97" s="212">
        <v>10</v>
      </c>
      <c r="N97" s="212">
        <v>11</v>
      </c>
      <c r="O97" s="212">
        <v>12</v>
      </c>
      <c r="P97" s="212">
        <v>13</v>
      </c>
      <c r="Q97" s="212">
        <v>14</v>
      </c>
      <c r="R97" s="212">
        <v>15</v>
      </c>
      <c r="S97" s="212">
        <v>16</v>
      </c>
      <c r="T97" s="212">
        <v>17</v>
      </c>
      <c r="U97" s="212">
        <v>18</v>
      </c>
      <c r="V97" s="212">
        <v>19</v>
      </c>
      <c r="W97" s="212">
        <v>20</v>
      </c>
      <c r="X97" s="212">
        <v>21</v>
      </c>
      <c r="Y97" s="212">
        <v>22</v>
      </c>
      <c r="Z97" s="212">
        <v>23</v>
      </c>
      <c r="AA97" s="212">
        <v>24</v>
      </c>
      <c r="AB97" s="212">
        <v>25</v>
      </c>
      <c r="AC97" s="212">
        <v>26</v>
      </c>
      <c r="AD97" s="212">
        <v>27</v>
      </c>
      <c r="AE97" s="212">
        <v>28</v>
      </c>
      <c r="AF97" s="212">
        <v>29</v>
      </c>
      <c r="AG97" s="212">
        <v>30</v>
      </c>
      <c r="AH97" s="212">
        <v>31</v>
      </c>
      <c r="AI97" s="212">
        <v>32</v>
      </c>
      <c r="AJ97" s="212">
        <v>33</v>
      </c>
      <c r="AK97" s="212">
        <v>34</v>
      </c>
      <c r="AL97" s="212">
        <v>35</v>
      </c>
      <c r="AM97" s="212">
        <v>36</v>
      </c>
      <c r="AN97" s="212">
        <v>37</v>
      </c>
      <c r="AO97" s="212">
        <v>38</v>
      </c>
      <c r="AP97" s="212">
        <v>39</v>
      </c>
      <c r="AQ97" s="212">
        <v>40</v>
      </c>
      <c r="AR97" s="213"/>
      <c r="AS97" s="213"/>
      <c r="AT97" s="213"/>
      <c r="AU97" s="213"/>
    </row>
    <row r="98" spans="2:47" ht="12">
      <c r="B98" s="214" t="s">
        <v>58</v>
      </c>
      <c r="C98" s="18"/>
      <c r="D98" s="215">
        <f aca="true" t="shared" si="44" ref="D98:AQ98">IF(D100&gt;0,1,0)</f>
        <v>1</v>
      </c>
      <c r="E98" s="215">
        <f t="shared" si="44"/>
        <v>1</v>
      </c>
      <c r="F98" s="215">
        <f t="shared" si="44"/>
        <v>1</v>
      </c>
      <c r="G98" s="215">
        <f t="shared" si="44"/>
        <v>1</v>
      </c>
      <c r="H98" s="215">
        <f t="shared" si="44"/>
        <v>1</v>
      </c>
      <c r="I98" s="215">
        <f t="shared" si="44"/>
        <v>1</v>
      </c>
      <c r="J98" s="215">
        <f t="shared" si="44"/>
        <v>1</v>
      </c>
      <c r="K98" s="215">
        <f t="shared" si="44"/>
        <v>1</v>
      </c>
      <c r="L98" s="215">
        <f t="shared" si="44"/>
        <v>1</v>
      </c>
      <c r="M98" s="215">
        <f t="shared" si="44"/>
        <v>1</v>
      </c>
      <c r="N98" s="215">
        <f t="shared" si="44"/>
        <v>1</v>
      </c>
      <c r="O98" s="215">
        <f t="shared" si="44"/>
        <v>1</v>
      </c>
      <c r="P98" s="215">
        <f t="shared" si="44"/>
        <v>1</v>
      </c>
      <c r="Q98" s="215">
        <f t="shared" si="44"/>
        <v>1</v>
      </c>
      <c r="R98" s="215">
        <f t="shared" si="44"/>
        <v>1</v>
      </c>
      <c r="S98" s="215">
        <f t="shared" si="44"/>
        <v>1</v>
      </c>
      <c r="T98" s="215">
        <f t="shared" si="44"/>
        <v>1</v>
      </c>
      <c r="U98" s="215">
        <f t="shared" si="44"/>
        <v>1</v>
      </c>
      <c r="V98" s="215">
        <f t="shared" si="44"/>
        <v>1</v>
      </c>
      <c r="W98" s="215">
        <f t="shared" si="44"/>
        <v>1</v>
      </c>
      <c r="X98" s="215">
        <f t="shared" si="44"/>
        <v>0</v>
      </c>
      <c r="Y98" s="215">
        <f t="shared" si="44"/>
        <v>0</v>
      </c>
      <c r="Z98" s="215">
        <f t="shared" si="44"/>
        <v>0</v>
      </c>
      <c r="AA98" s="215">
        <f t="shared" si="44"/>
        <v>0</v>
      </c>
      <c r="AB98" s="215">
        <f t="shared" si="44"/>
        <v>0</v>
      </c>
      <c r="AC98" s="215">
        <f t="shared" si="44"/>
        <v>0</v>
      </c>
      <c r="AD98" s="215">
        <f t="shared" si="44"/>
        <v>0</v>
      </c>
      <c r="AE98" s="215">
        <f t="shared" si="44"/>
        <v>0</v>
      </c>
      <c r="AF98" s="215">
        <f t="shared" si="44"/>
        <v>0</v>
      </c>
      <c r="AG98" s="215">
        <f t="shared" si="44"/>
        <v>0</v>
      </c>
      <c r="AH98" s="215">
        <f t="shared" si="44"/>
        <v>0</v>
      </c>
      <c r="AI98" s="215">
        <f t="shared" si="44"/>
        <v>0</v>
      </c>
      <c r="AJ98" s="215">
        <f t="shared" si="44"/>
        <v>0</v>
      </c>
      <c r="AK98" s="215">
        <f t="shared" si="44"/>
        <v>0</v>
      </c>
      <c r="AL98" s="215">
        <f t="shared" si="44"/>
        <v>0</v>
      </c>
      <c r="AM98" s="215">
        <f t="shared" si="44"/>
        <v>0</v>
      </c>
      <c r="AN98" s="215">
        <f t="shared" si="44"/>
        <v>0</v>
      </c>
      <c r="AO98" s="215">
        <f t="shared" si="44"/>
        <v>0</v>
      </c>
      <c r="AP98" s="215">
        <f t="shared" si="44"/>
        <v>0</v>
      </c>
      <c r="AQ98" s="215">
        <f t="shared" si="44"/>
        <v>0</v>
      </c>
      <c r="AR98" s="126"/>
      <c r="AS98" s="126"/>
      <c r="AT98" s="126"/>
      <c r="AU98" s="126"/>
    </row>
    <row r="99" spans="2:47" s="213" customFormat="1" ht="12">
      <c r="B99" s="126" t="s">
        <v>17</v>
      </c>
      <c r="C99" s="3"/>
      <c r="D99" s="216">
        <f aca="true" t="shared" si="45" ref="D99:AQ99">C104</f>
        <v>784285.9913793101</v>
      </c>
      <c r="E99" s="216">
        <f>D104</f>
        <v>757948.295030569</v>
      </c>
      <c r="F99" s="216">
        <f t="shared" si="45"/>
        <v>730557.0908278781</v>
      </c>
      <c r="G99" s="216">
        <f t="shared" si="45"/>
        <v>702070.2384570796</v>
      </c>
      <c r="H99" s="216">
        <f t="shared" si="45"/>
        <v>672443.9119914492</v>
      </c>
      <c r="I99" s="216">
        <f>H104</f>
        <v>641632.5324671936</v>
      </c>
      <c r="J99" s="216">
        <f t="shared" si="45"/>
        <v>609588.6977619677</v>
      </c>
      <c r="K99" s="216">
        <f t="shared" si="45"/>
        <v>576263.1096685327</v>
      </c>
      <c r="L99" s="216">
        <f t="shared" si="45"/>
        <v>541604.4980513605</v>
      </c>
      <c r="M99" s="216">
        <f t="shared" si="45"/>
        <v>505559.5419695013</v>
      </c>
      <c r="N99" s="216">
        <f t="shared" si="45"/>
        <v>468072.7876443678</v>
      </c>
      <c r="O99" s="216">
        <f t="shared" si="45"/>
        <v>429086.5631462289</v>
      </c>
      <c r="P99" s="216">
        <f t="shared" si="45"/>
        <v>388540.8896681645</v>
      </c>
      <c r="Q99" s="216">
        <f t="shared" si="45"/>
        <v>346373.3892509775</v>
      </c>
      <c r="R99" s="216">
        <f t="shared" si="45"/>
        <v>302519.188817103</v>
      </c>
      <c r="S99" s="216">
        <f t="shared" si="45"/>
        <v>256910.82036587351</v>
      </c>
      <c r="T99" s="216">
        <f t="shared" si="45"/>
        <v>209478.11717659485</v>
      </c>
      <c r="U99" s="216">
        <f t="shared" si="45"/>
        <v>160148.10585974506</v>
      </c>
      <c r="V99" s="216">
        <f t="shared" si="45"/>
        <v>108844.89409022126</v>
      </c>
      <c r="W99" s="216">
        <f t="shared" si="45"/>
        <v>55489.55384991653</v>
      </c>
      <c r="X99" s="216">
        <f t="shared" si="45"/>
        <v>-4.001776687800884E-10</v>
      </c>
      <c r="Y99" s="216">
        <f t="shared" si="45"/>
        <v>-4.001776687800884E-10</v>
      </c>
      <c r="Z99" s="216">
        <f t="shared" si="45"/>
        <v>-4.001776687800884E-10</v>
      </c>
      <c r="AA99" s="216">
        <f t="shared" si="45"/>
        <v>-4.001776687800884E-10</v>
      </c>
      <c r="AB99" s="216">
        <f t="shared" si="45"/>
        <v>-4.001776687800884E-10</v>
      </c>
      <c r="AC99" s="216">
        <f t="shared" si="45"/>
        <v>-4.001776687800884E-10</v>
      </c>
      <c r="AD99" s="216">
        <f t="shared" si="45"/>
        <v>-4.001776687800884E-10</v>
      </c>
      <c r="AE99" s="216">
        <f t="shared" si="45"/>
        <v>-4.001776687800884E-10</v>
      </c>
      <c r="AF99" s="216">
        <f t="shared" si="45"/>
        <v>-4.001776687800884E-10</v>
      </c>
      <c r="AG99" s="216">
        <f t="shared" si="45"/>
        <v>-4.001776687800884E-10</v>
      </c>
      <c r="AH99" s="216">
        <f t="shared" si="45"/>
        <v>-4.001776687800884E-10</v>
      </c>
      <c r="AI99" s="216">
        <f t="shared" si="45"/>
        <v>-4.001776687800884E-10</v>
      </c>
      <c r="AJ99" s="216">
        <f t="shared" si="45"/>
        <v>-4.001776687800884E-10</v>
      </c>
      <c r="AK99" s="216">
        <f t="shared" si="45"/>
        <v>-4.001776687800884E-10</v>
      </c>
      <c r="AL99" s="216">
        <f t="shared" si="45"/>
        <v>-4.001776687800884E-10</v>
      </c>
      <c r="AM99" s="216">
        <f t="shared" si="45"/>
        <v>-4.001776687800884E-10</v>
      </c>
      <c r="AN99" s="216">
        <f t="shared" si="45"/>
        <v>-4.001776687800884E-10</v>
      </c>
      <c r="AO99" s="216">
        <f t="shared" si="45"/>
        <v>-4.001776687800884E-10</v>
      </c>
      <c r="AP99" s="216">
        <f t="shared" si="45"/>
        <v>-4.001776687800884E-10</v>
      </c>
      <c r="AQ99" s="216">
        <f t="shared" si="45"/>
        <v>-4.001776687800884E-10</v>
      </c>
      <c r="AR99" s="217"/>
      <c r="AS99" s="217"/>
      <c r="AT99" s="217"/>
      <c r="AU99" s="217"/>
    </row>
    <row r="100" spans="2:43" s="126" customFormat="1" ht="12">
      <c r="B100" s="126" t="s">
        <v>18</v>
      </c>
      <c r="C100" s="3"/>
      <c r="D100" s="216">
        <f aca="true" t="shared" si="46" ref="D100:AQ100">IF(AND(D97&gt;0,$H$19&gt;=D97),-PMT($H$18,$H$19,$H$26),0)</f>
        <v>57709.13600391359</v>
      </c>
      <c r="E100" s="216">
        <f t="shared" si="46"/>
        <v>57709.13600391359</v>
      </c>
      <c r="F100" s="216">
        <f t="shared" si="46"/>
        <v>57709.13600391359</v>
      </c>
      <c r="G100" s="216">
        <f t="shared" si="46"/>
        <v>57709.13600391359</v>
      </c>
      <c r="H100" s="216">
        <f t="shared" si="46"/>
        <v>57709.13600391359</v>
      </c>
      <c r="I100" s="216">
        <f t="shared" si="46"/>
        <v>57709.13600391359</v>
      </c>
      <c r="J100" s="216">
        <f t="shared" si="46"/>
        <v>57709.13600391359</v>
      </c>
      <c r="K100" s="216">
        <f t="shared" si="46"/>
        <v>57709.13600391359</v>
      </c>
      <c r="L100" s="216">
        <f t="shared" si="46"/>
        <v>57709.13600391359</v>
      </c>
      <c r="M100" s="216">
        <f t="shared" si="46"/>
        <v>57709.13600391359</v>
      </c>
      <c r="N100" s="216">
        <f t="shared" si="46"/>
        <v>57709.13600391359</v>
      </c>
      <c r="O100" s="216">
        <f t="shared" si="46"/>
        <v>57709.13600391359</v>
      </c>
      <c r="P100" s="216">
        <f t="shared" si="46"/>
        <v>57709.13600391359</v>
      </c>
      <c r="Q100" s="216">
        <f t="shared" si="46"/>
        <v>57709.13600391359</v>
      </c>
      <c r="R100" s="216">
        <f t="shared" si="46"/>
        <v>57709.13600391359</v>
      </c>
      <c r="S100" s="216">
        <f t="shared" si="46"/>
        <v>57709.13600391359</v>
      </c>
      <c r="T100" s="216">
        <f t="shared" si="46"/>
        <v>57709.13600391359</v>
      </c>
      <c r="U100" s="216">
        <f t="shared" si="46"/>
        <v>57709.13600391359</v>
      </c>
      <c r="V100" s="216">
        <f t="shared" si="46"/>
        <v>57709.13600391359</v>
      </c>
      <c r="W100" s="216">
        <f t="shared" si="46"/>
        <v>57709.13600391359</v>
      </c>
      <c r="X100" s="216">
        <f t="shared" si="46"/>
        <v>0</v>
      </c>
      <c r="Y100" s="216">
        <f t="shared" si="46"/>
        <v>0</v>
      </c>
      <c r="Z100" s="216">
        <f t="shared" si="46"/>
        <v>0</v>
      </c>
      <c r="AA100" s="216">
        <f t="shared" si="46"/>
        <v>0</v>
      </c>
      <c r="AB100" s="216">
        <f t="shared" si="46"/>
        <v>0</v>
      </c>
      <c r="AC100" s="216">
        <f t="shared" si="46"/>
        <v>0</v>
      </c>
      <c r="AD100" s="216">
        <f t="shared" si="46"/>
        <v>0</v>
      </c>
      <c r="AE100" s="216">
        <f t="shared" si="46"/>
        <v>0</v>
      </c>
      <c r="AF100" s="216">
        <f t="shared" si="46"/>
        <v>0</v>
      </c>
      <c r="AG100" s="216">
        <f t="shared" si="46"/>
        <v>0</v>
      </c>
      <c r="AH100" s="216">
        <f t="shared" si="46"/>
        <v>0</v>
      </c>
      <c r="AI100" s="216">
        <f t="shared" si="46"/>
        <v>0</v>
      </c>
      <c r="AJ100" s="216">
        <f t="shared" si="46"/>
        <v>0</v>
      </c>
      <c r="AK100" s="216">
        <f t="shared" si="46"/>
        <v>0</v>
      </c>
      <c r="AL100" s="216">
        <f t="shared" si="46"/>
        <v>0</v>
      </c>
      <c r="AM100" s="216">
        <f t="shared" si="46"/>
        <v>0</v>
      </c>
      <c r="AN100" s="216">
        <f t="shared" si="46"/>
        <v>0</v>
      </c>
      <c r="AO100" s="216">
        <f t="shared" si="46"/>
        <v>0</v>
      </c>
      <c r="AP100" s="216">
        <f t="shared" si="46"/>
        <v>0</v>
      </c>
      <c r="AQ100" s="216">
        <f t="shared" si="46"/>
        <v>0</v>
      </c>
    </row>
    <row r="101" spans="2:47" s="217" customFormat="1" ht="12">
      <c r="B101" s="126" t="s">
        <v>19</v>
      </c>
      <c r="C101" s="3"/>
      <c r="D101" s="216">
        <f>IF(AND(D99&gt;0,$H$19&gt;=D97),D99*$H$18,0)</f>
        <v>31371.439655172406</v>
      </c>
      <c r="E101" s="216">
        <f aca="true" t="shared" si="47" ref="E101:AQ101">IF(AND(E99&gt;0,$H$19&gt;=E97),E99*$H$18,0)</f>
        <v>30317.93180122276</v>
      </c>
      <c r="F101" s="216">
        <f t="shared" si="47"/>
        <v>29222.283633115123</v>
      </c>
      <c r="G101" s="216">
        <f t="shared" si="47"/>
        <v>28082.809538283185</v>
      </c>
      <c r="H101" s="216">
        <f t="shared" si="47"/>
        <v>26897.756479657968</v>
      </c>
      <c r="I101" s="216">
        <f t="shared" si="47"/>
        <v>25665.301298687744</v>
      </c>
      <c r="J101" s="216">
        <f t="shared" si="47"/>
        <v>24383.54791047871</v>
      </c>
      <c r="K101" s="216">
        <f t="shared" si="47"/>
        <v>23050.52438674131</v>
      </c>
      <c r="L101" s="216">
        <f t="shared" si="47"/>
        <v>21664.17992205442</v>
      </c>
      <c r="M101" s="216">
        <f t="shared" si="47"/>
        <v>20222.381678780053</v>
      </c>
      <c r="N101" s="216">
        <f t="shared" si="47"/>
        <v>18722.91150577471</v>
      </c>
      <c r="O101" s="216">
        <f t="shared" si="47"/>
        <v>17163.462525849158</v>
      </c>
      <c r="P101" s="216">
        <f t="shared" si="47"/>
        <v>15541.63558672658</v>
      </c>
      <c r="Q101" s="216">
        <f t="shared" si="47"/>
        <v>13854.9355700391</v>
      </c>
      <c r="R101" s="216">
        <f t="shared" si="47"/>
        <v>12100.76755268412</v>
      </c>
      <c r="S101" s="216">
        <f t="shared" si="47"/>
        <v>10276.432814634942</v>
      </c>
      <c r="T101" s="216">
        <f t="shared" si="47"/>
        <v>8379.124687063795</v>
      </c>
      <c r="U101" s="216">
        <f t="shared" si="47"/>
        <v>6405.924234389802</v>
      </c>
      <c r="V101" s="216">
        <f t="shared" si="47"/>
        <v>4353.79576360885</v>
      </c>
      <c r="W101" s="216">
        <f t="shared" si="47"/>
        <v>2219.582153996661</v>
      </c>
      <c r="X101" s="216">
        <f t="shared" si="47"/>
        <v>0</v>
      </c>
      <c r="Y101" s="216">
        <f t="shared" si="47"/>
        <v>0</v>
      </c>
      <c r="Z101" s="216">
        <f t="shared" si="47"/>
        <v>0</v>
      </c>
      <c r="AA101" s="216">
        <f t="shared" si="47"/>
        <v>0</v>
      </c>
      <c r="AB101" s="216">
        <f t="shared" si="47"/>
        <v>0</v>
      </c>
      <c r="AC101" s="216">
        <f t="shared" si="47"/>
        <v>0</v>
      </c>
      <c r="AD101" s="216">
        <f t="shared" si="47"/>
        <v>0</v>
      </c>
      <c r="AE101" s="216">
        <f t="shared" si="47"/>
        <v>0</v>
      </c>
      <c r="AF101" s="216">
        <f t="shared" si="47"/>
        <v>0</v>
      </c>
      <c r="AG101" s="216">
        <f t="shared" si="47"/>
        <v>0</v>
      </c>
      <c r="AH101" s="216">
        <f t="shared" si="47"/>
        <v>0</v>
      </c>
      <c r="AI101" s="216">
        <f t="shared" si="47"/>
        <v>0</v>
      </c>
      <c r="AJ101" s="216">
        <f t="shared" si="47"/>
        <v>0</v>
      </c>
      <c r="AK101" s="216">
        <f t="shared" si="47"/>
        <v>0</v>
      </c>
      <c r="AL101" s="216">
        <f t="shared" si="47"/>
        <v>0</v>
      </c>
      <c r="AM101" s="216">
        <f t="shared" si="47"/>
        <v>0</v>
      </c>
      <c r="AN101" s="216">
        <f t="shared" si="47"/>
        <v>0</v>
      </c>
      <c r="AO101" s="216">
        <f t="shared" si="47"/>
        <v>0</v>
      </c>
      <c r="AP101" s="216">
        <f t="shared" si="47"/>
        <v>0</v>
      </c>
      <c r="AQ101" s="216">
        <f t="shared" si="47"/>
        <v>0</v>
      </c>
      <c r="AR101" s="126"/>
      <c r="AS101" s="126"/>
      <c r="AT101" s="126"/>
      <c r="AU101" s="126"/>
    </row>
    <row r="102" spans="3:43" s="126" customFormat="1" ht="12">
      <c r="C102" s="3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</row>
    <row r="103" spans="2:43" s="126" customFormat="1" ht="12">
      <c r="B103" s="126" t="s">
        <v>46</v>
      </c>
      <c r="C103" s="3"/>
      <c r="D103" s="216">
        <f aca="true" t="shared" si="48" ref="D103:AQ103">IF($H$19&gt;=D97,D100-D101,0)</f>
        <v>26337.696348741185</v>
      </c>
      <c r="E103" s="216">
        <f t="shared" si="48"/>
        <v>27391.20420269083</v>
      </c>
      <c r="F103" s="216">
        <f t="shared" si="48"/>
        <v>28486.852370798468</v>
      </c>
      <c r="G103" s="216">
        <f t="shared" si="48"/>
        <v>29626.326465630405</v>
      </c>
      <c r="H103" s="216">
        <f t="shared" si="48"/>
        <v>30811.379524255623</v>
      </c>
      <c r="I103" s="216">
        <f t="shared" si="48"/>
        <v>32043.834705225847</v>
      </c>
      <c r="J103" s="216">
        <f t="shared" si="48"/>
        <v>33325.58809343488</v>
      </c>
      <c r="K103" s="216">
        <f t="shared" si="48"/>
        <v>34658.61161717228</v>
      </c>
      <c r="L103" s="216">
        <f t="shared" si="48"/>
        <v>36044.95608185917</v>
      </c>
      <c r="M103" s="216">
        <f t="shared" si="48"/>
        <v>37486.75432513354</v>
      </c>
      <c r="N103" s="216">
        <f t="shared" si="48"/>
        <v>38986.22449813888</v>
      </c>
      <c r="O103" s="216">
        <f t="shared" si="48"/>
        <v>40545.67347806443</v>
      </c>
      <c r="P103" s="216">
        <f t="shared" si="48"/>
        <v>42167.50041718701</v>
      </c>
      <c r="Q103" s="216">
        <f t="shared" si="48"/>
        <v>43854.20043387449</v>
      </c>
      <c r="R103" s="216">
        <f t="shared" si="48"/>
        <v>45608.36845122947</v>
      </c>
      <c r="S103" s="216">
        <f t="shared" si="48"/>
        <v>47432.70318927865</v>
      </c>
      <c r="T103" s="216">
        <f t="shared" si="48"/>
        <v>49330.01131684979</v>
      </c>
      <c r="U103" s="216">
        <f t="shared" si="48"/>
        <v>51303.21176952379</v>
      </c>
      <c r="V103" s="216">
        <f t="shared" si="48"/>
        <v>53355.34024030474</v>
      </c>
      <c r="W103" s="216">
        <f t="shared" si="48"/>
        <v>55489.55384991693</v>
      </c>
      <c r="X103" s="216">
        <f t="shared" si="48"/>
        <v>0</v>
      </c>
      <c r="Y103" s="216">
        <f t="shared" si="48"/>
        <v>0</v>
      </c>
      <c r="Z103" s="216">
        <f t="shared" si="48"/>
        <v>0</v>
      </c>
      <c r="AA103" s="216">
        <f t="shared" si="48"/>
        <v>0</v>
      </c>
      <c r="AB103" s="216">
        <f t="shared" si="48"/>
        <v>0</v>
      </c>
      <c r="AC103" s="216">
        <f t="shared" si="48"/>
        <v>0</v>
      </c>
      <c r="AD103" s="216">
        <f t="shared" si="48"/>
        <v>0</v>
      </c>
      <c r="AE103" s="216">
        <f t="shared" si="48"/>
        <v>0</v>
      </c>
      <c r="AF103" s="216">
        <f t="shared" si="48"/>
        <v>0</v>
      </c>
      <c r="AG103" s="216">
        <f t="shared" si="48"/>
        <v>0</v>
      </c>
      <c r="AH103" s="216">
        <f t="shared" si="48"/>
        <v>0</v>
      </c>
      <c r="AI103" s="216">
        <f t="shared" si="48"/>
        <v>0</v>
      </c>
      <c r="AJ103" s="216">
        <f t="shared" si="48"/>
        <v>0</v>
      </c>
      <c r="AK103" s="216">
        <f t="shared" si="48"/>
        <v>0</v>
      </c>
      <c r="AL103" s="216">
        <f t="shared" si="48"/>
        <v>0</v>
      </c>
      <c r="AM103" s="216">
        <f t="shared" si="48"/>
        <v>0</v>
      </c>
      <c r="AN103" s="216">
        <f t="shared" si="48"/>
        <v>0</v>
      </c>
      <c r="AO103" s="216">
        <f t="shared" si="48"/>
        <v>0</v>
      </c>
      <c r="AP103" s="216">
        <f t="shared" si="48"/>
        <v>0</v>
      </c>
      <c r="AQ103" s="216">
        <f t="shared" si="48"/>
        <v>0</v>
      </c>
    </row>
    <row r="104" spans="2:43" s="126" customFormat="1" ht="12">
      <c r="B104" s="126" t="s">
        <v>20</v>
      </c>
      <c r="C104" s="127">
        <f aca="true" t="shared" si="49" ref="C104:AP104">IF(D97=1,IF($H$19&gt;=D97,$H$26,0),C99-C103)</f>
        <v>784285.9913793101</v>
      </c>
      <c r="D104" s="127">
        <f t="shared" si="49"/>
        <v>757948.295030569</v>
      </c>
      <c r="E104" s="127">
        <f t="shared" si="49"/>
        <v>730557.0908278781</v>
      </c>
      <c r="F104" s="127">
        <f t="shared" si="49"/>
        <v>702070.2384570796</v>
      </c>
      <c r="G104" s="127">
        <f t="shared" si="49"/>
        <v>672443.9119914492</v>
      </c>
      <c r="H104" s="127">
        <f t="shared" si="49"/>
        <v>641632.5324671936</v>
      </c>
      <c r="I104" s="127">
        <f t="shared" si="49"/>
        <v>609588.6977619677</v>
      </c>
      <c r="J104" s="127">
        <f t="shared" si="49"/>
        <v>576263.1096685327</v>
      </c>
      <c r="K104" s="127">
        <f t="shared" si="49"/>
        <v>541604.4980513605</v>
      </c>
      <c r="L104" s="127">
        <f t="shared" si="49"/>
        <v>505559.5419695013</v>
      </c>
      <c r="M104" s="127">
        <f t="shared" si="49"/>
        <v>468072.7876443678</v>
      </c>
      <c r="N104" s="127">
        <f t="shared" si="49"/>
        <v>429086.5631462289</v>
      </c>
      <c r="O104" s="127">
        <f t="shared" si="49"/>
        <v>388540.8896681645</v>
      </c>
      <c r="P104" s="127">
        <f t="shared" si="49"/>
        <v>346373.3892509775</v>
      </c>
      <c r="Q104" s="127">
        <f t="shared" si="49"/>
        <v>302519.188817103</v>
      </c>
      <c r="R104" s="127">
        <f t="shared" si="49"/>
        <v>256910.82036587351</v>
      </c>
      <c r="S104" s="127">
        <f t="shared" si="49"/>
        <v>209478.11717659485</v>
      </c>
      <c r="T104" s="127">
        <f t="shared" si="49"/>
        <v>160148.10585974506</v>
      </c>
      <c r="U104" s="127">
        <f t="shared" si="49"/>
        <v>108844.89409022126</v>
      </c>
      <c r="V104" s="127">
        <f t="shared" si="49"/>
        <v>55489.55384991653</v>
      </c>
      <c r="W104" s="127">
        <f t="shared" si="49"/>
        <v>-4.001776687800884E-10</v>
      </c>
      <c r="X104" s="127">
        <f t="shared" si="49"/>
        <v>-4.001776687800884E-10</v>
      </c>
      <c r="Y104" s="127">
        <f t="shared" si="49"/>
        <v>-4.001776687800884E-10</v>
      </c>
      <c r="Z104" s="127">
        <f t="shared" si="49"/>
        <v>-4.001776687800884E-10</v>
      </c>
      <c r="AA104" s="127">
        <f t="shared" si="49"/>
        <v>-4.001776687800884E-10</v>
      </c>
      <c r="AB104" s="127">
        <f t="shared" si="49"/>
        <v>-4.001776687800884E-10</v>
      </c>
      <c r="AC104" s="127">
        <f t="shared" si="49"/>
        <v>-4.001776687800884E-10</v>
      </c>
      <c r="AD104" s="127">
        <f t="shared" si="49"/>
        <v>-4.001776687800884E-10</v>
      </c>
      <c r="AE104" s="127">
        <f t="shared" si="49"/>
        <v>-4.001776687800884E-10</v>
      </c>
      <c r="AF104" s="127">
        <f t="shared" si="49"/>
        <v>-4.001776687800884E-10</v>
      </c>
      <c r="AG104" s="127">
        <f t="shared" si="49"/>
        <v>-4.001776687800884E-10</v>
      </c>
      <c r="AH104" s="127">
        <f t="shared" si="49"/>
        <v>-4.001776687800884E-10</v>
      </c>
      <c r="AI104" s="127">
        <f t="shared" si="49"/>
        <v>-4.001776687800884E-10</v>
      </c>
      <c r="AJ104" s="127">
        <f t="shared" si="49"/>
        <v>-4.001776687800884E-10</v>
      </c>
      <c r="AK104" s="127">
        <f t="shared" si="49"/>
        <v>-4.001776687800884E-10</v>
      </c>
      <c r="AL104" s="127">
        <f t="shared" si="49"/>
        <v>-4.001776687800884E-10</v>
      </c>
      <c r="AM104" s="127">
        <f t="shared" si="49"/>
        <v>-4.001776687800884E-10</v>
      </c>
      <c r="AN104" s="127">
        <f t="shared" si="49"/>
        <v>-4.001776687800884E-10</v>
      </c>
      <c r="AO104" s="127">
        <f t="shared" si="49"/>
        <v>-4.001776687800884E-10</v>
      </c>
      <c r="AP104" s="127">
        <f t="shared" si="49"/>
        <v>-4.001776687800884E-10</v>
      </c>
      <c r="AQ104" s="127" t="e">
        <f>IF(#REF!=1,IF($H$19&gt;=#REF!,$H$26,0),AQ99-AQ103)</f>
        <v>#REF!</v>
      </c>
    </row>
    <row r="105" spans="3:43" s="126" customFormat="1" ht="12"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</row>
    <row r="106" spans="2:43" s="126" customFormat="1" ht="12">
      <c r="B106" s="1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2:43" s="126" customFormat="1" ht="12">
      <c r="B107" s="211" t="s">
        <v>123</v>
      </c>
      <c r="C107" s="212">
        <f>C81</f>
        <v>0</v>
      </c>
      <c r="D107" s="212">
        <v>1</v>
      </c>
      <c r="E107" s="212">
        <v>2</v>
      </c>
      <c r="F107" s="212">
        <v>3</v>
      </c>
      <c r="G107" s="212">
        <v>4</v>
      </c>
      <c r="H107" s="212">
        <v>5</v>
      </c>
      <c r="I107" s="212">
        <v>6</v>
      </c>
      <c r="J107" s="212">
        <v>7</v>
      </c>
      <c r="K107" s="212">
        <v>8</v>
      </c>
      <c r="L107" s="212">
        <v>9</v>
      </c>
      <c r="M107" s="212">
        <v>10</v>
      </c>
      <c r="N107" s="212">
        <v>11</v>
      </c>
      <c r="O107" s="212">
        <v>12</v>
      </c>
      <c r="P107" s="212">
        <v>13</v>
      </c>
      <c r="Q107" s="212">
        <v>14</v>
      </c>
      <c r="R107" s="212">
        <v>15</v>
      </c>
      <c r="S107" s="212">
        <v>16</v>
      </c>
      <c r="T107" s="212">
        <v>17</v>
      </c>
      <c r="U107" s="212">
        <v>18</v>
      </c>
      <c r="V107" s="212">
        <v>19</v>
      </c>
      <c r="W107" s="212">
        <v>20</v>
      </c>
      <c r="X107" s="212">
        <v>21</v>
      </c>
      <c r="Y107" s="212">
        <v>22</v>
      </c>
      <c r="Z107" s="212">
        <v>23</v>
      </c>
      <c r="AA107" s="212">
        <v>24</v>
      </c>
      <c r="AB107" s="212">
        <v>25</v>
      </c>
      <c r="AC107" s="212">
        <v>26</v>
      </c>
      <c r="AD107" s="212">
        <v>27</v>
      </c>
      <c r="AE107" s="212">
        <v>28</v>
      </c>
      <c r="AF107" s="212">
        <v>29</v>
      </c>
      <c r="AG107" s="212">
        <v>30</v>
      </c>
      <c r="AH107" s="212">
        <v>31</v>
      </c>
      <c r="AI107" s="212">
        <v>32</v>
      </c>
      <c r="AJ107" s="212">
        <v>33</v>
      </c>
      <c r="AK107" s="212">
        <v>34</v>
      </c>
      <c r="AL107" s="212">
        <v>35</v>
      </c>
      <c r="AM107" s="212">
        <v>36</v>
      </c>
      <c r="AN107" s="212">
        <v>37</v>
      </c>
      <c r="AO107" s="212">
        <v>38</v>
      </c>
      <c r="AP107" s="212">
        <v>39</v>
      </c>
      <c r="AQ107" s="212">
        <v>40</v>
      </c>
    </row>
    <row r="108" spans="2:43" s="126" customFormat="1" ht="12">
      <c r="B108" s="126" t="s">
        <v>17</v>
      </c>
      <c r="C108" s="216"/>
      <c r="D108" s="216">
        <f aca="true" t="shared" si="50" ref="D108:AQ108">+C112</f>
        <v>0</v>
      </c>
      <c r="E108" s="216">
        <f t="shared" si="50"/>
        <v>14523.814655172411</v>
      </c>
      <c r="F108" s="216">
        <f t="shared" si="50"/>
        <v>29047.629310344822</v>
      </c>
      <c r="G108" s="216">
        <f t="shared" si="50"/>
        <v>43571.44396551723</v>
      </c>
      <c r="H108" s="216">
        <f t="shared" si="50"/>
        <v>58095.258620689645</v>
      </c>
      <c r="I108" s="216">
        <f t="shared" si="50"/>
        <v>72619.07327586206</v>
      </c>
      <c r="J108" s="216">
        <f t="shared" si="50"/>
        <v>87142.88793103446</v>
      </c>
      <c r="K108" s="216">
        <f t="shared" si="50"/>
        <v>101666.70258620687</v>
      </c>
      <c r="L108" s="216">
        <f t="shared" si="50"/>
        <v>116190.51724137928</v>
      </c>
      <c r="M108" s="216">
        <f t="shared" si="50"/>
        <v>130714.33189655168</v>
      </c>
      <c r="N108" s="216">
        <f t="shared" si="50"/>
        <v>-2.9103830456733704E-11</v>
      </c>
      <c r="O108" s="216">
        <f t="shared" si="50"/>
        <v>14523.814655172382</v>
      </c>
      <c r="P108" s="216">
        <f t="shared" si="50"/>
        <v>29047.629310344793</v>
      </c>
      <c r="Q108" s="216">
        <f t="shared" si="50"/>
        <v>43571.4439655172</v>
      </c>
      <c r="R108" s="216">
        <f t="shared" si="50"/>
        <v>58095.258620689616</v>
      </c>
      <c r="S108" s="216">
        <f t="shared" si="50"/>
        <v>72619.07327586203</v>
      </c>
      <c r="T108" s="216">
        <f t="shared" si="50"/>
        <v>87142.88793103443</v>
      </c>
      <c r="U108" s="216">
        <f t="shared" si="50"/>
        <v>101666.70258620684</v>
      </c>
      <c r="V108" s="216">
        <f t="shared" si="50"/>
        <v>116190.51724137925</v>
      </c>
      <c r="W108" s="216">
        <f t="shared" si="50"/>
        <v>130714.33189655165</v>
      </c>
      <c r="X108" s="216">
        <f t="shared" si="50"/>
        <v>0</v>
      </c>
      <c r="Y108" s="216">
        <f t="shared" si="50"/>
        <v>0</v>
      </c>
      <c r="Z108" s="216">
        <f t="shared" si="50"/>
        <v>0</v>
      </c>
      <c r="AA108" s="216">
        <f t="shared" si="50"/>
        <v>0</v>
      </c>
      <c r="AB108" s="216">
        <f t="shared" si="50"/>
        <v>0</v>
      </c>
      <c r="AC108" s="216">
        <f t="shared" si="50"/>
        <v>0</v>
      </c>
      <c r="AD108" s="216">
        <f t="shared" si="50"/>
        <v>0</v>
      </c>
      <c r="AE108" s="216">
        <f t="shared" si="50"/>
        <v>0</v>
      </c>
      <c r="AF108" s="216">
        <f t="shared" si="50"/>
        <v>0</v>
      </c>
      <c r="AG108" s="216">
        <f t="shared" si="50"/>
        <v>0</v>
      </c>
      <c r="AH108" s="216">
        <f t="shared" si="50"/>
        <v>0</v>
      </c>
      <c r="AI108" s="216">
        <f t="shared" si="50"/>
        <v>0</v>
      </c>
      <c r="AJ108" s="216">
        <f t="shared" si="50"/>
        <v>0</v>
      </c>
      <c r="AK108" s="216">
        <f t="shared" si="50"/>
        <v>0</v>
      </c>
      <c r="AL108" s="216">
        <f t="shared" si="50"/>
        <v>0</v>
      </c>
      <c r="AM108" s="216">
        <f t="shared" si="50"/>
        <v>0</v>
      </c>
      <c r="AN108" s="216">
        <f t="shared" si="50"/>
        <v>0</v>
      </c>
      <c r="AO108" s="216">
        <f t="shared" si="50"/>
        <v>0</v>
      </c>
      <c r="AP108" s="216">
        <f t="shared" si="50"/>
        <v>0</v>
      </c>
      <c r="AQ108" s="216">
        <f t="shared" si="50"/>
        <v>0</v>
      </c>
    </row>
    <row r="109" spans="2:43" s="126" customFormat="1" ht="12">
      <c r="B109" s="126" t="s">
        <v>62</v>
      </c>
      <c r="C109" s="216">
        <v>0</v>
      </c>
      <c r="D109" s="216">
        <f aca="true" t="shared" si="51" ref="D109:AQ109">$C$24*IF(D31&lt;=$C$17,1,0)</f>
        <v>14523.814655172411</v>
      </c>
      <c r="E109" s="216">
        <f t="shared" si="51"/>
        <v>14523.814655172411</v>
      </c>
      <c r="F109" s="216">
        <f t="shared" si="51"/>
        <v>14523.814655172411</v>
      </c>
      <c r="G109" s="216">
        <f t="shared" si="51"/>
        <v>14523.814655172411</v>
      </c>
      <c r="H109" s="216">
        <f t="shared" si="51"/>
        <v>14523.814655172411</v>
      </c>
      <c r="I109" s="216">
        <f t="shared" si="51"/>
        <v>14523.814655172411</v>
      </c>
      <c r="J109" s="216">
        <f t="shared" si="51"/>
        <v>14523.814655172411</v>
      </c>
      <c r="K109" s="216">
        <f t="shared" si="51"/>
        <v>14523.814655172411</v>
      </c>
      <c r="L109" s="216">
        <f t="shared" si="51"/>
        <v>14523.814655172411</v>
      </c>
      <c r="M109" s="216">
        <f t="shared" si="51"/>
        <v>14523.814655172411</v>
      </c>
      <c r="N109" s="216">
        <f t="shared" si="51"/>
        <v>14523.814655172411</v>
      </c>
      <c r="O109" s="216">
        <f t="shared" si="51"/>
        <v>14523.814655172411</v>
      </c>
      <c r="P109" s="216">
        <f t="shared" si="51"/>
        <v>14523.814655172411</v>
      </c>
      <c r="Q109" s="216">
        <f t="shared" si="51"/>
        <v>14523.814655172411</v>
      </c>
      <c r="R109" s="216">
        <f t="shared" si="51"/>
        <v>14523.814655172411</v>
      </c>
      <c r="S109" s="216">
        <f t="shared" si="51"/>
        <v>14523.814655172411</v>
      </c>
      <c r="T109" s="216">
        <f t="shared" si="51"/>
        <v>14523.814655172411</v>
      </c>
      <c r="U109" s="216">
        <f t="shared" si="51"/>
        <v>14523.814655172411</v>
      </c>
      <c r="V109" s="216">
        <f t="shared" si="51"/>
        <v>14523.814655172411</v>
      </c>
      <c r="W109" s="216">
        <f t="shared" si="51"/>
        <v>14523.814655172411</v>
      </c>
      <c r="X109" s="216">
        <f t="shared" si="51"/>
        <v>0</v>
      </c>
      <c r="Y109" s="216">
        <f t="shared" si="51"/>
        <v>0</v>
      </c>
      <c r="Z109" s="216">
        <f t="shared" si="51"/>
        <v>0</v>
      </c>
      <c r="AA109" s="216">
        <f t="shared" si="51"/>
        <v>0</v>
      </c>
      <c r="AB109" s="216">
        <f t="shared" si="51"/>
        <v>0</v>
      </c>
      <c r="AC109" s="216">
        <f t="shared" si="51"/>
        <v>0</v>
      </c>
      <c r="AD109" s="216">
        <f t="shared" si="51"/>
        <v>0</v>
      </c>
      <c r="AE109" s="216">
        <f t="shared" si="51"/>
        <v>0</v>
      </c>
      <c r="AF109" s="216">
        <f t="shared" si="51"/>
        <v>0</v>
      </c>
      <c r="AG109" s="216">
        <f t="shared" si="51"/>
        <v>0</v>
      </c>
      <c r="AH109" s="216">
        <f t="shared" si="51"/>
        <v>0</v>
      </c>
      <c r="AI109" s="216">
        <f t="shared" si="51"/>
        <v>0</v>
      </c>
      <c r="AJ109" s="216">
        <f t="shared" si="51"/>
        <v>0</v>
      </c>
      <c r="AK109" s="216">
        <f t="shared" si="51"/>
        <v>0</v>
      </c>
      <c r="AL109" s="216">
        <f t="shared" si="51"/>
        <v>0</v>
      </c>
      <c r="AM109" s="216">
        <f t="shared" si="51"/>
        <v>0</v>
      </c>
      <c r="AN109" s="216">
        <f t="shared" si="51"/>
        <v>0</v>
      </c>
      <c r="AO109" s="216">
        <f t="shared" si="51"/>
        <v>0</v>
      </c>
      <c r="AP109" s="216">
        <f t="shared" si="51"/>
        <v>0</v>
      </c>
      <c r="AQ109" s="216">
        <f t="shared" si="51"/>
        <v>0</v>
      </c>
    </row>
    <row r="110" spans="2:43" s="126" customFormat="1" ht="12">
      <c r="B110" s="126" t="s">
        <v>63</v>
      </c>
      <c r="C110" s="216">
        <f>+-(MAX(0,C33))</f>
        <v>0</v>
      </c>
      <c r="D110" s="207">
        <f aca="true" t="shared" si="52" ref="D110:AQ110">-IF(OR(D$107=$C$25,D$107=2*$C$25,D$107=3*$C$25),1,0)*$C$23*IF(D107&lt;=$C$17,1,0)</f>
        <v>0</v>
      </c>
      <c r="E110" s="207">
        <f t="shared" si="52"/>
        <v>0</v>
      </c>
      <c r="F110" s="207">
        <f t="shared" si="52"/>
        <v>0</v>
      </c>
      <c r="G110" s="207">
        <f t="shared" si="52"/>
        <v>0</v>
      </c>
      <c r="H110" s="207">
        <f t="shared" si="52"/>
        <v>0</v>
      </c>
      <c r="I110" s="207">
        <f t="shared" si="52"/>
        <v>0</v>
      </c>
      <c r="J110" s="207">
        <f t="shared" si="52"/>
        <v>0</v>
      </c>
      <c r="K110" s="207">
        <f t="shared" si="52"/>
        <v>0</v>
      </c>
      <c r="L110" s="207">
        <f t="shared" si="52"/>
        <v>0</v>
      </c>
      <c r="M110" s="207">
        <f t="shared" si="52"/>
        <v>-145238.14655172412</v>
      </c>
      <c r="N110" s="207">
        <f t="shared" si="52"/>
        <v>0</v>
      </c>
      <c r="O110" s="207">
        <f t="shared" si="52"/>
        <v>0</v>
      </c>
      <c r="P110" s="207">
        <f t="shared" si="52"/>
        <v>0</v>
      </c>
      <c r="Q110" s="207">
        <f t="shared" si="52"/>
        <v>0</v>
      </c>
      <c r="R110" s="207">
        <f t="shared" si="52"/>
        <v>0</v>
      </c>
      <c r="S110" s="207">
        <f t="shared" si="52"/>
        <v>0</v>
      </c>
      <c r="T110" s="207">
        <f t="shared" si="52"/>
        <v>0</v>
      </c>
      <c r="U110" s="207">
        <f t="shared" si="52"/>
        <v>0</v>
      </c>
      <c r="V110" s="207">
        <f t="shared" si="52"/>
        <v>0</v>
      </c>
      <c r="W110" s="207">
        <f t="shared" si="52"/>
        <v>-145238.14655172412</v>
      </c>
      <c r="X110" s="207">
        <f t="shared" si="52"/>
        <v>0</v>
      </c>
      <c r="Y110" s="207">
        <f t="shared" si="52"/>
        <v>0</v>
      </c>
      <c r="Z110" s="207">
        <f t="shared" si="52"/>
        <v>0</v>
      </c>
      <c r="AA110" s="207">
        <f t="shared" si="52"/>
        <v>0</v>
      </c>
      <c r="AB110" s="207">
        <f t="shared" si="52"/>
        <v>0</v>
      </c>
      <c r="AC110" s="207">
        <f t="shared" si="52"/>
        <v>0</v>
      </c>
      <c r="AD110" s="207">
        <f t="shared" si="52"/>
        <v>0</v>
      </c>
      <c r="AE110" s="207">
        <f t="shared" si="52"/>
        <v>0</v>
      </c>
      <c r="AF110" s="207">
        <f t="shared" si="52"/>
        <v>0</v>
      </c>
      <c r="AG110" s="207">
        <f t="shared" si="52"/>
        <v>0</v>
      </c>
      <c r="AH110" s="207">
        <f t="shared" si="52"/>
        <v>0</v>
      </c>
      <c r="AI110" s="207">
        <f t="shared" si="52"/>
        <v>0</v>
      </c>
      <c r="AJ110" s="207">
        <f t="shared" si="52"/>
        <v>0</v>
      </c>
      <c r="AK110" s="207">
        <f t="shared" si="52"/>
        <v>0</v>
      </c>
      <c r="AL110" s="207">
        <f t="shared" si="52"/>
        <v>0</v>
      </c>
      <c r="AM110" s="207">
        <f t="shared" si="52"/>
        <v>0</v>
      </c>
      <c r="AN110" s="207">
        <f t="shared" si="52"/>
        <v>0</v>
      </c>
      <c r="AO110" s="207">
        <f t="shared" si="52"/>
        <v>0</v>
      </c>
      <c r="AP110" s="207">
        <f t="shared" si="52"/>
        <v>0</v>
      </c>
      <c r="AQ110" s="207">
        <f t="shared" si="52"/>
        <v>0</v>
      </c>
    </row>
    <row r="111" spans="2:43" s="126" customFormat="1" ht="12">
      <c r="B111" s="126" t="s">
        <v>124</v>
      </c>
      <c r="C111" s="216"/>
      <c r="D111" s="207">
        <f>-IF(D107=$C$17,D108+D109+D110,0)</f>
        <v>0</v>
      </c>
      <c r="E111" s="207">
        <f aca="true" t="shared" si="53" ref="E111:AQ111">-IF(E107=$C$17,E108+E109+E110,0)</f>
        <v>0</v>
      </c>
      <c r="F111" s="207">
        <f t="shared" si="53"/>
        <v>0</v>
      </c>
      <c r="G111" s="207">
        <f t="shared" si="53"/>
        <v>0</v>
      </c>
      <c r="H111" s="207">
        <f t="shared" si="53"/>
        <v>0</v>
      </c>
      <c r="I111" s="207">
        <f t="shared" si="53"/>
        <v>0</v>
      </c>
      <c r="J111" s="207">
        <f t="shared" si="53"/>
        <v>0</v>
      </c>
      <c r="K111" s="207">
        <f t="shared" si="53"/>
        <v>0</v>
      </c>
      <c r="L111" s="207">
        <f t="shared" si="53"/>
        <v>0</v>
      </c>
      <c r="M111" s="207">
        <f t="shared" si="53"/>
        <v>0</v>
      </c>
      <c r="N111" s="207">
        <f t="shared" si="53"/>
        <v>0</v>
      </c>
      <c r="O111" s="207">
        <f t="shared" si="53"/>
        <v>0</v>
      </c>
      <c r="P111" s="207">
        <f t="shared" si="53"/>
        <v>0</v>
      </c>
      <c r="Q111" s="207">
        <f t="shared" si="53"/>
        <v>0</v>
      </c>
      <c r="R111" s="207">
        <f t="shared" si="53"/>
        <v>0</v>
      </c>
      <c r="S111" s="207">
        <f t="shared" si="53"/>
        <v>0</v>
      </c>
      <c r="T111" s="207">
        <f t="shared" si="53"/>
        <v>0</v>
      </c>
      <c r="U111" s="207">
        <f t="shared" si="53"/>
        <v>0</v>
      </c>
      <c r="V111" s="207">
        <f t="shared" si="53"/>
        <v>0</v>
      </c>
      <c r="W111" s="207">
        <f t="shared" si="53"/>
        <v>5.820766091346741E-11</v>
      </c>
      <c r="X111" s="207">
        <f t="shared" si="53"/>
        <v>0</v>
      </c>
      <c r="Y111" s="207">
        <f t="shared" si="53"/>
        <v>0</v>
      </c>
      <c r="Z111" s="207">
        <f t="shared" si="53"/>
        <v>0</v>
      </c>
      <c r="AA111" s="207">
        <f t="shared" si="53"/>
        <v>0</v>
      </c>
      <c r="AB111" s="207">
        <f t="shared" si="53"/>
        <v>0</v>
      </c>
      <c r="AC111" s="207">
        <f t="shared" si="53"/>
        <v>0</v>
      </c>
      <c r="AD111" s="207">
        <f t="shared" si="53"/>
        <v>0</v>
      </c>
      <c r="AE111" s="207">
        <f t="shared" si="53"/>
        <v>0</v>
      </c>
      <c r="AF111" s="207">
        <f t="shared" si="53"/>
        <v>0</v>
      </c>
      <c r="AG111" s="207">
        <f t="shared" si="53"/>
        <v>0</v>
      </c>
      <c r="AH111" s="207">
        <f t="shared" si="53"/>
        <v>0</v>
      </c>
      <c r="AI111" s="207">
        <f t="shared" si="53"/>
        <v>0</v>
      </c>
      <c r="AJ111" s="207">
        <f t="shared" si="53"/>
        <v>0</v>
      </c>
      <c r="AK111" s="207">
        <f t="shared" si="53"/>
        <v>0</v>
      </c>
      <c r="AL111" s="207">
        <f t="shared" si="53"/>
        <v>0</v>
      </c>
      <c r="AM111" s="207">
        <f t="shared" si="53"/>
        <v>0</v>
      </c>
      <c r="AN111" s="207">
        <f t="shared" si="53"/>
        <v>0</v>
      </c>
      <c r="AO111" s="207">
        <f t="shared" si="53"/>
        <v>0</v>
      </c>
      <c r="AP111" s="207">
        <f t="shared" si="53"/>
        <v>0</v>
      </c>
      <c r="AQ111" s="207">
        <f t="shared" si="53"/>
        <v>0</v>
      </c>
    </row>
    <row r="112" spans="2:43" s="126" customFormat="1" ht="12">
      <c r="B112" s="126" t="s">
        <v>20</v>
      </c>
      <c r="C112" s="216">
        <f>SUM(C108:C110)</f>
        <v>0</v>
      </c>
      <c r="D112" s="216">
        <f>SUM(D108:D111)</f>
        <v>14523.814655172411</v>
      </c>
      <c r="E112" s="216">
        <f aca="true" t="shared" si="54" ref="E112:AQ112">SUM(E108:E111)</f>
        <v>29047.629310344822</v>
      </c>
      <c r="F112" s="216">
        <f t="shared" si="54"/>
        <v>43571.44396551723</v>
      </c>
      <c r="G112" s="216">
        <f t="shared" si="54"/>
        <v>58095.258620689645</v>
      </c>
      <c r="H112" s="216">
        <f t="shared" si="54"/>
        <v>72619.07327586206</v>
      </c>
      <c r="I112" s="216">
        <f t="shared" si="54"/>
        <v>87142.88793103446</v>
      </c>
      <c r="J112" s="216">
        <f t="shared" si="54"/>
        <v>101666.70258620687</v>
      </c>
      <c r="K112" s="216">
        <f t="shared" si="54"/>
        <v>116190.51724137928</v>
      </c>
      <c r="L112" s="216">
        <f t="shared" si="54"/>
        <v>130714.33189655168</v>
      </c>
      <c r="M112" s="216">
        <f t="shared" si="54"/>
        <v>-2.9103830456733704E-11</v>
      </c>
      <c r="N112" s="216">
        <f t="shared" si="54"/>
        <v>14523.814655172382</v>
      </c>
      <c r="O112" s="216">
        <f t="shared" si="54"/>
        <v>29047.629310344793</v>
      </c>
      <c r="P112" s="216">
        <f t="shared" si="54"/>
        <v>43571.4439655172</v>
      </c>
      <c r="Q112" s="216">
        <f t="shared" si="54"/>
        <v>58095.258620689616</v>
      </c>
      <c r="R112" s="216">
        <f t="shared" si="54"/>
        <v>72619.07327586203</v>
      </c>
      <c r="S112" s="216">
        <f t="shared" si="54"/>
        <v>87142.88793103443</v>
      </c>
      <c r="T112" s="216">
        <f t="shared" si="54"/>
        <v>101666.70258620684</v>
      </c>
      <c r="U112" s="216">
        <f t="shared" si="54"/>
        <v>116190.51724137925</v>
      </c>
      <c r="V112" s="216">
        <f t="shared" si="54"/>
        <v>130714.33189655165</v>
      </c>
      <c r="W112" s="216">
        <f t="shared" si="54"/>
        <v>0</v>
      </c>
      <c r="X112" s="216">
        <f t="shared" si="54"/>
        <v>0</v>
      </c>
      <c r="Y112" s="216">
        <f t="shared" si="54"/>
        <v>0</v>
      </c>
      <c r="Z112" s="216">
        <f t="shared" si="54"/>
        <v>0</v>
      </c>
      <c r="AA112" s="216">
        <f t="shared" si="54"/>
        <v>0</v>
      </c>
      <c r="AB112" s="216">
        <f t="shared" si="54"/>
        <v>0</v>
      </c>
      <c r="AC112" s="216">
        <f t="shared" si="54"/>
        <v>0</v>
      </c>
      <c r="AD112" s="216">
        <f t="shared" si="54"/>
        <v>0</v>
      </c>
      <c r="AE112" s="216">
        <f t="shared" si="54"/>
        <v>0</v>
      </c>
      <c r="AF112" s="216">
        <f t="shared" si="54"/>
        <v>0</v>
      </c>
      <c r="AG112" s="216">
        <f t="shared" si="54"/>
        <v>0</v>
      </c>
      <c r="AH112" s="216">
        <f t="shared" si="54"/>
        <v>0</v>
      </c>
      <c r="AI112" s="216">
        <f t="shared" si="54"/>
        <v>0</v>
      </c>
      <c r="AJ112" s="216">
        <f t="shared" si="54"/>
        <v>0</v>
      </c>
      <c r="AK112" s="216">
        <f t="shared" si="54"/>
        <v>0</v>
      </c>
      <c r="AL112" s="216">
        <f t="shared" si="54"/>
        <v>0</v>
      </c>
      <c r="AM112" s="216">
        <f t="shared" si="54"/>
        <v>0</v>
      </c>
      <c r="AN112" s="216">
        <f t="shared" si="54"/>
        <v>0</v>
      </c>
      <c r="AO112" s="216">
        <f t="shared" si="54"/>
        <v>0</v>
      </c>
      <c r="AP112" s="216">
        <f t="shared" si="54"/>
        <v>0</v>
      </c>
      <c r="AQ112" s="216">
        <f t="shared" si="54"/>
        <v>0</v>
      </c>
    </row>
    <row r="113" spans="2:43" s="126" customFormat="1" ht="12">
      <c r="B113" s="126" t="s">
        <v>64</v>
      </c>
      <c r="C113" s="32">
        <f>+H22</f>
        <v>0.038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2:47" s="126" customFormat="1" ht="12">
      <c r="B114" s="126" t="s">
        <v>125</v>
      </c>
      <c r="C114" s="216">
        <f>+C108*$C$145</f>
        <v>0</v>
      </c>
      <c r="D114" s="216">
        <f>-D109-D111+$C$113*D108</f>
        <v>-14523.814655172411</v>
      </c>
      <c r="E114" s="216">
        <f>-E109-E111+$C$113*E108</f>
        <v>-13971.90969827586</v>
      </c>
      <c r="F114" s="216">
        <f aca="true" t="shared" si="55" ref="F114:AQ114">-F109-F111+$C$113*F108</f>
        <v>-13420.004741379307</v>
      </c>
      <c r="G114" s="216">
        <f t="shared" si="55"/>
        <v>-12868.099784482756</v>
      </c>
      <c r="H114" s="216">
        <f t="shared" si="55"/>
        <v>-12316.194827586205</v>
      </c>
      <c r="I114" s="216">
        <f t="shared" si="55"/>
        <v>-11764.289870689652</v>
      </c>
      <c r="J114" s="216">
        <f t="shared" si="55"/>
        <v>-11212.384913793101</v>
      </c>
      <c r="K114" s="216">
        <f t="shared" si="55"/>
        <v>-10660.47995689655</v>
      </c>
      <c r="L114" s="216">
        <f t="shared" si="55"/>
        <v>-10108.574999999999</v>
      </c>
      <c r="M114" s="216">
        <f t="shared" si="55"/>
        <v>-9556.670043103448</v>
      </c>
      <c r="N114" s="216">
        <f t="shared" si="55"/>
        <v>-14523.814655172413</v>
      </c>
      <c r="O114" s="216">
        <f t="shared" si="55"/>
        <v>-13971.90969827586</v>
      </c>
      <c r="P114" s="216">
        <f t="shared" si="55"/>
        <v>-13420.004741379309</v>
      </c>
      <c r="Q114" s="216">
        <f t="shared" si="55"/>
        <v>-12868.099784482758</v>
      </c>
      <c r="R114" s="216">
        <f t="shared" si="55"/>
        <v>-12316.194827586205</v>
      </c>
      <c r="S114" s="216">
        <f t="shared" si="55"/>
        <v>-11764.289870689654</v>
      </c>
      <c r="T114" s="216">
        <f t="shared" si="55"/>
        <v>-11212.384913793103</v>
      </c>
      <c r="U114" s="216">
        <f t="shared" si="55"/>
        <v>-10660.479956896552</v>
      </c>
      <c r="V114" s="216">
        <f t="shared" si="55"/>
        <v>-10108.575</v>
      </c>
      <c r="W114" s="216">
        <f t="shared" si="55"/>
        <v>-9556.670043103506</v>
      </c>
      <c r="X114" s="216">
        <f t="shared" si="55"/>
        <v>0</v>
      </c>
      <c r="Y114" s="216">
        <f t="shared" si="55"/>
        <v>0</v>
      </c>
      <c r="Z114" s="216">
        <f t="shared" si="55"/>
        <v>0</v>
      </c>
      <c r="AA114" s="216">
        <f t="shared" si="55"/>
        <v>0</v>
      </c>
      <c r="AB114" s="216">
        <f t="shared" si="55"/>
        <v>0</v>
      </c>
      <c r="AC114" s="216">
        <f t="shared" si="55"/>
        <v>0</v>
      </c>
      <c r="AD114" s="216">
        <f t="shared" si="55"/>
        <v>0</v>
      </c>
      <c r="AE114" s="216">
        <f t="shared" si="55"/>
        <v>0</v>
      </c>
      <c r="AF114" s="216">
        <f t="shared" si="55"/>
        <v>0</v>
      </c>
      <c r="AG114" s="216">
        <f t="shared" si="55"/>
        <v>0</v>
      </c>
      <c r="AH114" s="216">
        <f t="shared" si="55"/>
        <v>0</v>
      </c>
      <c r="AI114" s="216">
        <f t="shared" si="55"/>
        <v>0</v>
      </c>
      <c r="AJ114" s="216">
        <f t="shared" si="55"/>
        <v>0</v>
      </c>
      <c r="AK114" s="216">
        <f t="shared" si="55"/>
        <v>0</v>
      </c>
      <c r="AL114" s="216">
        <f t="shared" si="55"/>
        <v>0</v>
      </c>
      <c r="AM114" s="216">
        <f t="shared" si="55"/>
        <v>0</v>
      </c>
      <c r="AN114" s="216">
        <f t="shared" si="55"/>
        <v>0</v>
      </c>
      <c r="AO114" s="216">
        <f t="shared" si="55"/>
        <v>0</v>
      </c>
      <c r="AP114" s="216">
        <f t="shared" si="55"/>
        <v>0</v>
      </c>
      <c r="AQ114" s="216">
        <f t="shared" si="55"/>
        <v>0</v>
      </c>
      <c r="AS114" s="201"/>
      <c r="AT114" s="201"/>
      <c r="AU114" s="201"/>
    </row>
    <row r="115" spans="3:47" s="126" customFormat="1" ht="12"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S115" s="201"/>
      <c r="AT115" s="201"/>
      <c r="AU115" s="201"/>
    </row>
    <row r="116" spans="2:43" s="126" customFormat="1" ht="12">
      <c r="B116" s="196" t="s">
        <v>45</v>
      </c>
      <c r="C116" s="218">
        <f aca="true" t="shared" si="56" ref="C116:AQ116">C97</f>
        <v>0</v>
      </c>
      <c r="D116" s="218">
        <f t="shared" si="56"/>
        <v>1</v>
      </c>
      <c r="E116" s="218">
        <f t="shared" si="56"/>
        <v>2</v>
      </c>
      <c r="F116" s="218">
        <f t="shared" si="56"/>
        <v>3</v>
      </c>
      <c r="G116" s="218">
        <f t="shared" si="56"/>
        <v>4</v>
      </c>
      <c r="H116" s="218">
        <f t="shared" si="56"/>
        <v>5</v>
      </c>
      <c r="I116" s="218">
        <f t="shared" si="56"/>
        <v>6</v>
      </c>
      <c r="J116" s="218">
        <f t="shared" si="56"/>
        <v>7</v>
      </c>
      <c r="K116" s="218">
        <f t="shared" si="56"/>
        <v>8</v>
      </c>
      <c r="L116" s="218">
        <f t="shared" si="56"/>
        <v>9</v>
      </c>
      <c r="M116" s="218">
        <f t="shared" si="56"/>
        <v>10</v>
      </c>
      <c r="N116" s="218">
        <f t="shared" si="56"/>
        <v>11</v>
      </c>
      <c r="O116" s="218">
        <f t="shared" si="56"/>
        <v>12</v>
      </c>
      <c r="P116" s="218">
        <f t="shared" si="56"/>
        <v>13</v>
      </c>
      <c r="Q116" s="218">
        <f t="shared" si="56"/>
        <v>14</v>
      </c>
      <c r="R116" s="218">
        <f t="shared" si="56"/>
        <v>15</v>
      </c>
      <c r="S116" s="218">
        <f t="shared" si="56"/>
        <v>16</v>
      </c>
      <c r="T116" s="218">
        <f t="shared" si="56"/>
        <v>17</v>
      </c>
      <c r="U116" s="218">
        <f t="shared" si="56"/>
        <v>18</v>
      </c>
      <c r="V116" s="218">
        <f t="shared" si="56"/>
        <v>19</v>
      </c>
      <c r="W116" s="218">
        <f t="shared" si="56"/>
        <v>20</v>
      </c>
      <c r="X116" s="218">
        <f t="shared" si="56"/>
        <v>21</v>
      </c>
      <c r="Y116" s="218">
        <f t="shared" si="56"/>
        <v>22</v>
      </c>
      <c r="Z116" s="218">
        <f t="shared" si="56"/>
        <v>23</v>
      </c>
      <c r="AA116" s="218">
        <f t="shared" si="56"/>
        <v>24</v>
      </c>
      <c r="AB116" s="218">
        <f t="shared" si="56"/>
        <v>25</v>
      </c>
      <c r="AC116" s="218">
        <f t="shared" si="56"/>
        <v>26</v>
      </c>
      <c r="AD116" s="218">
        <f t="shared" si="56"/>
        <v>27</v>
      </c>
      <c r="AE116" s="218">
        <f t="shared" si="56"/>
        <v>28</v>
      </c>
      <c r="AF116" s="218">
        <f t="shared" si="56"/>
        <v>29</v>
      </c>
      <c r="AG116" s="218">
        <f t="shared" si="56"/>
        <v>30</v>
      </c>
      <c r="AH116" s="218">
        <f t="shared" si="56"/>
        <v>31</v>
      </c>
      <c r="AI116" s="218">
        <f t="shared" si="56"/>
        <v>32</v>
      </c>
      <c r="AJ116" s="218">
        <f t="shared" si="56"/>
        <v>33</v>
      </c>
      <c r="AK116" s="218">
        <f t="shared" si="56"/>
        <v>34</v>
      </c>
      <c r="AL116" s="218">
        <f t="shared" si="56"/>
        <v>35</v>
      </c>
      <c r="AM116" s="218">
        <f t="shared" si="56"/>
        <v>36</v>
      </c>
      <c r="AN116" s="218">
        <f t="shared" si="56"/>
        <v>37</v>
      </c>
      <c r="AO116" s="218">
        <f t="shared" si="56"/>
        <v>38</v>
      </c>
      <c r="AP116" s="218">
        <f t="shared" si="56"/>
        <v>39</v>
      </c>
      <c r="AQ116" s="218">
        <f t="shared" si="56"/>
        <v>40</v>
      </c>
    </row>
    <row r="117" spans="2:43" s="126" customFormat="1" ht="12">
      <c r="B117" s="126" t="s">
        <v>60</v>
      </c>
      <c r="C117" s="3"/>
      <c r="D117" s="127">
        <f aca="true" t="shared" si="57" ref="D117:AQ117">D44*D98</f>
        <v>81374.32412306483</v>
      </c>
      <c r="E117" s="127">
        <f t="shared" si="57"/>
        <v>80963.24443736556</v>
      </c>
      <c r="F117" s="127">
        <f t="shared" si="57"/>
        <v>80544.39545287771</v>
      </c>
      <c r="G117" s="127">
        <f t="shared" si="57"/>
        <v>80117.51592949011</v>
      </c>
      <c r="H117" s="127">
        <f t="shared" si="57"/>
        <v>79682.34006878371</v>
      </c>
      <c r="I117" s="127">
        <f t="shared" si="57"/>
        <v>7463.343262820323</v>
      </c>
      <c r="J117" s="127">
        <f t="shared" si="57"/>
        <v>7513.185395936838</v>
      </c>
      <c r="K117" s="127">
        <f t="shared" si="57"/>
        <v>7550.388489202429</v>
      </c>
      <c r="L117" s="127">
        <f t="shared" si="57"/>
        <v>7574.692150314833</v>
      </c>
      <c r="M117" s="127">
        <f t="shared" si="57"/>
        <v>7585.830756823947</v>
      </c>
      <c r="N117" s="127">
        <f t="shared" si="57"/>
        <v>2064.483782498166</v>
      </c>
      <c r="O117" s="127">
        <f t="shared" si="57"/>
        <v>2048.473966424477</v>
      </c>
      <c r="P117" s="127">
        <f t="shared" si="57"/>
        <v>2018.4697903181295</v>
      </c>
      <c r="Q117" s="127">
        <f t="shared" si="57"/>
        <v>1974.1836433092685</v>
      </c>
      <c r="R117" s="127">
        <f t="shared" si="57"/>
        <v>1915.3221396803128</v>
      </c>
      <c r="S117" s="127">
        <f t="shared" si="57"/>
        <v>1841.5860033026256</v>
      </c>
      <c r="T117" s="127">
        <f t="shared" si="57"/>
        <v>1752.6699497618756</v>
      </c>
      <c r="U117" s="127">
        <f t="shared" si="57"/>
        <v>1648.2625661255952</v>
      </c>
      <c r="V117" s="127">
        <f t="shared" si="57"/>
        <v>1528.0461883058815</v>
      </c>
      <c r="W117" s="127">
        <f t="shared" si="57"/>
        <v>1391.6967759692197</v>
      </c>
      <c r="X117" s="127">
        <f t="shared" si="57"/>
        <v>0</v>
      </c>
      <c r="Y117" s="127">
        <f t="shared" si="57"/>
        <v>0</v>
      </c>
      <c r="Z117" s="127">
        <f t="shared" si="57"/>
        <v>0</v>
      </c>
      <c r="AA117" s="127">
        <f t="shared" si="57"/>
        <v>0</v>
      </c>
      <c r="AB117" s="127">
        <f t="shared" si="57"/>
        <v>0</v>
      </c>
      <c r="AC117" s="127">
        <f t="shared" si="57"/>
        <v>0</v>
      </c>
      <c r="AD117" s="127">
        <f t="shared" si="57"/>
        <v>0</v>
      </c>
      <c r="AE117" s="127">
        <f t="shared" si="57"/>
        <v>0</v>
      </c>
      <c r="AF117" s="127">
        <f t="shared" si="57"/>
        <v>0</v>
      </c>
      <c r="AG117" s="127">
        <f t="shared" si="57"/>
        <v>0</v>
      </c>
      <c r="AH117" s="127">
        <f t="shared" si="57"/>
        <v>0</v>
      </c>
      <c r="AI117" s="127">
        <f t="shared" si="57"/>
        <v>0</v>
      </c>
      <c r="AJ117" s="127">
        <f t="shared" si="57"/>
        <v>0</v>
      </c>
      <c r="AK117" s="127">
        <f t="shared" si="57"/>
        <v>0</v>
      </c>
      <c r="AL117" s="127">
        <f t="shared" si="57"/>
        <v>0</v>
      </c>
      <c r="AM117" s="127">
        <f t="shared" si="57"/>
        <v>0</v>
      </c>
      <c r="AN117" s="127">
        <f t="shared" si="57"/>
        <v>0</v>
      </c>
      <c r="AO117" s="127">
        <f t="shared" si="57"/>
        <v>0</v>
      </c>
      <c r="AP117" s="127">
        <f t="shared" si="57"/>
        <v>0</v>
      </c>
      <c r="AQ117" s="127">
        <f t="shared" si="57"/>
        <v>0</v>
      </c>
    </row>
    <row r="118" spans="2:43" s="126" customFormat="1" ht="12">
      <c r="B118" s="126" t="s">
        <v>61</v>
      </c>
      <c r="C118" s="3"/>
      <c r="D118" s="219">
        <f aca="true" t="shared" si="58" ref="D118:AQ118">IF(D100=0,0,D117/D100)</f>
        <v>1.4100769784102531</v>
      </c>
      <c r="E118" s="219">
        <f t="shared" si="58"/>
        <v>1.4029536749930718</v>
      </c>
      <c r="F118" s="219">
        <f t="shared" si="58"/>
        <v>1.3956957430001296</v>
      </c>
      <c r="G118" s="219">
        <f t="shared" si="58"/>
        <v>1.3882986555899377</v>
      </c>
      <c r="H118" s="219">
        <f t="shared" si="58"/>
        <v>1.380757806933377</v>
      </c>
      <c r="I118" s="219">
        <f t="shared" si="58"/>
        <v>0.1293268930991133</v>
      </c>
      <c r="J118" s="219">
        <f t="shared" si="58"/>
        <v>0.13019057147948507</v>
      </c>
      <c r="K118" s="219">
        <f t="shared" si="58"/>
        <v>0.13083523705311398</v>
      </c>
      <c r="L118" s="219">
        <f t="shared" si="58"/>
        <v>0.1312563776695799</v>
      </c>
      <c r="M118" s="219">
        <f t="shared" si="58"/>
        <v>0.13144939054900265</v>
      </c>
      <c r="N118" s="219">
        <f t="shared" si="58"/>
        <v>0.03577395063336525</v>
      </c>
      <c r="O118" s="219">
        <f t="shared" si="58"/>
        <v>0.03549652807634407</v>
      </c>
      <c r="P118" s="219">
        <f t="shared" si="58"/>
        <v>0.034976607346560266</v>
      </c>
      <c r="Q118" s="219">
        <f t="shared" si="58"/>
        <v>0.03420920464266503</v>
      </c>
      <c r="R118" s="219">
        <f t="shared" si="58"/>
        <v>0.03318923609513793</v>
      </c>
      <c r="S118" s="219">
        <f t="shared" si="58"/>
        <v>0.031911515763773296</v>
      </c>
      <c r="T118" s="219">
        <f t="shared" si="58"/>
        <v>0.03037075359511563</v>
      </c>
      <c r="U118" s="219">
        <f t="shared" si="58"/>
        <v>0.02856155333903833</v>
      </c>
      <c r="V118" s="219">
        <f t="shared" si="58"/>
        <v>0.026478410423650352</v>
      </c>
      <c r="W118" s="219">
        <f t="shared" si="58"/>
        <v>0.02411570978769879</v>
      </c>
      <c r="X118" s="219">
        <f t="shared" si="58"/>
        <v>0</v>
      </c>
      <c r="Y118" s="219">
        <f t="shared" si="58"/>
        <v>0</v>
      </c>
      <c r="Z118" s="219">
        <f t="shared" si="58"/>
        <v>0</v>
      </c>
      <c r="AA118" s="219">
        <f t="shared" si="58"/>
        <v>0</v>
      </c>
      <c r="AB118" s="219">
        <f t="shared" si="58"/>
        <v>0</v>
      </c>
      <c r="AC118" s="219">
        <f t="shared" si="58"/>
        <v>0</v>
      </c>
      <c r="AD118" s="219">
        <f t="shared" si="58"/>
        <v>0</v>
      </c>
      <c r="AE118" s="219">
        <f t="shared" si="58"/>
        <v>0</v>
      </c>
      <c r="AF118" s="219">
        <f t="shared" si="58"/>
        <v>0</v>
      </c>
      <c r="AG118" s="219">
        <f t="shared" si="58"/>
        <v>0</v>
      </c>
      <c r="AH118" s="219">
        <f t="shared" si="58"/>
        <v>0</v>
      </c>
      <c r="AI118" s="219">
        <f t="shared" si="58"/>
        <v>0</v>
      </c>
      <c r="AJ118" s="219">
        <f t="shared" si="58"/>
        <v>0</v>
      </c>
      <c r="AK118" s="219">
        <f t="shared" si="58"/>
        <v>0</v>
      </c>
      <c r="AL118" s="219">
        <f t="shared" si="58"/>
        <v>0</v>
      </c>
      <c r="AM118" s="219">
        <f t="shared" si="58"/>
        <v>0</v>
      </c>
      <c r="AN118" s="219">
        <f t="shared" si="58"/>
        <v>0</v>
      </c>
      <c r="AO118" s="219">
        <f t="shared" si="58"/>
        <v>0</v>
      </c>
      <c r="AP118" s="219">
        <f t="shared" si="58"/>
        <v>0</v>
      </c>
      <c r="AQ118" s="219">
        <f t="shared" si="58"/>
        <v>0</v>
      </c>
    </row>
    <row r="119" spans="2:43" s="126" customFormat="1" ht="12">
      <c r="B119" s="126" t="s">
        <v>53</v>
      </c>
      <c r="C119" s="220">
        <f>SUM(D118:AQ118)/H19</f>
        <v>0.3972962399240207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2:43" s="126" customFormat="1" ht="12">
      <c r="B120" s="126" t="s">
        <v>54</v>
      </c>
      <c r="C120" s="220">
        <f>SUM(D117:AQ117)/SUM(D100:AQ100)</f>
        <v>0.39729623992402074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2:43" s="126" customFormat="1" ht="12">
      <c r="B121" s="126" t="s">
        <v>51</v>
      </c>
      <c r="C121" s="220">
        <v>1.4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3:43" s="126" customFormat="1" ht="12">
      <c r="C122" s="21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2:43" s="126" customFormat="1" ht="12">
      <c r="B123" s="211" t="s">
        <v>74</v>
      </c>
      <c r="C123" s="212">
        <f aca="true" t="shared" si="59" ref="C123:AQ123">C97</f>
        <v>0</v>
      </c>
      <c r="D123" s="212">
        <f t="shared" si="59"/>
        <v>1</v>
      </c>
      <c r="E123" s="212">
        <f t="shared" si="59"/>
        <v>2</v>
      </c>
      <c r="F123" s="212">
        <f t="shared" si="59"/>
        <v>3</v>
      </c>
      <c r="G123" s="212">
        <f t="shared" si="59"/>
        <v>4</v>
      </c>
      <c r="H123" s="212">
        <f t="shared" si="59"/>
        <v>5</v>
      </c>
      <c r="I123" s="212">
        <f t="shared" si="59"/>
        <v>6</v>
      </c>
      <c r="J123" s="212">
        <f t="shared" si="59"/>
        <v>7</v>
      </c>
      <c r="K123" s="212">
        <f t="shared" si="59"/>
        <v>8</v>
      </c>
      <c r="L123" s="212">
        <f t="shared" si="59"/>
        <v>9</v>
      </c>
      <c r="M123" s="212">
        <f t="shared" si="59"/>
        <v>10</v>
      </c>
      <c r="N123" s="212">
        <f t="shared" si="59"/>
        <v>11</v>
      </c>
      <c r="O123" s="212">
        <f t="shared" si="59"/>
        <v>12</v>
      </c>
      <c r="P123" s="212">
        <f t="shared" si="59"/>
        <v>13</v>
      </c>
      <c r="Q123" s="212">
        <f t="shared" si="59"/>
        <v>14</v>
      </c>
      <c r="R123" s="212">
        <f t="shared" si="59"/>
        <v>15</v>
      </c>
      <c r="S123" s="212">
        <f t="shared" si="59"/>
        <v>16</v>
      </c>
      <c r="T123" s="212">
        <f t="shared" si="59"/>
        <v>17</v>
      </c>
      <c r="U123" s="212">
        <f t="shared" si="59"/>
        <v>18</v>
      </c>
      <c r="V123" s="212">
        <f t="shared" si="59"/>
        <v>19</v>
      </c>
      <c r="W123" s="212">
        <f t="shared" si="59"/>
        <v>20</v>
      </c>
      <c r="X123" s="212">
        <f t="shared" si="59"/>
        <v>21</v>
      </c>
      <c r="Y123" s="212">
        <f t="shared" si="59"/>
        <v>22</v>
      </c>
      <c r="Z123" s="212">
        <f t="shared" si="59"/>
        <v>23</v>
      </c>
      <c r="AA123" s="212">
        <f t="shared" si="59"/>
        <v>24</v>
      </c>
      <c r="AB123" s="212">
        <f t="shared" si="59"/>
        <v>25</v>
      </c>
      <c r="AC123" s="212">
        <f t="shared" si="59"/>
        <v>26</v>
      </c>
      <c r="AD123" s="212">
        <f t="shared" si="59"/>
        <v>27</v>
      </c>
      <c r="AE123" s="212">
        <f t="shared" si="59"/>
        <v>28</v>
      </c>
      <c r="AF123" s="212">
        <f t="shared" si="59"/>
        <v>29</v>
      </c>
      <c r="AG123" s="212">
        <f t="shared" si="59"/>
        <v>30</v>
      </c>
      <c r="AH123" s="212">
        <f t="shared" si="59"/>
        <v>31</v>
      </c>
      <c r="AI123" s="212">
        <f t="shared" si="59"/>
        <v>32</v>
      </c>
      <c r="AJ123" s="212">
        <f t="shared" si="59"/>
        <v>33</v>
      </c>
      <c r="AK123" s="212">
        <f t="shared" si="59"/>
        <v>34</v>
      </c>
      <c r="AL123" s="212">
        <f t="shared" si="59"/>
        <v>35</v>
      </c>
      <c r="AM123" s="212">
        <f t="shared" si="59"/>
        <v>36</v>
      </c>
      <c r="AN123" s="212">
        <f t="shared" si="59"/>
        <v>37</v>
      </c>
      <c r="AO123" s="212">
        <f t="shared" si="59"/>
        <v>38</v>
      </c>
      <c r="AP123" s="212">
        <f t="shared" si="59"/>
        <v>39</v>
      </c>
      <c r="AQ123" s="212">
        <f t="shared" si="59"/>
        <v>40</v>
      </c>
    </row>
    <row r="124" spans="2:43" s="126" customFormat="1" ht="12">
      <c r="B124" s="126" t="s">
        <v>17</v>
      </c>
      <c r="C124" s="216"/>
      <c r="D124" s="216">
        <f aca="true" t="shared" si="60" ref="D124:AQ124">+C127</f>
        <v>0</v>
      </c>
      <c r="E124" s="216">
        <f>+D127</f>
        <v>0</v>
      </c>
      <c r="F124" s="216">
        <f t="shared" si="60"/>
        <v>0</v>
      </c>
      <c r="G124" s="216">
        <f t="shared" si="60"/>
        <v>0</v>
      </c>
      <c r="H124" s="216">
        <f t="shared" si="60"/>
        <v>0</v>
      </c>
      <c r="I124" s="216">
        <f>+H127</f>
        <v>0</v>
      </c>
      <c r="J124" s="216">
        <f t="shared" si="60"/>
        <v>0</v>
      </c>
      <c r="K124" s="216">
        <f t="shared" si="60"/>
        <v>0</v>
      </c>
      <c r="L124" s="216">
        <f t="shared" si="60"/>
        <v>0</v>
      </c>
      <c r="M124" s="216">
        <f t="shared" si="60"/>
        <v>0</v>
      </c>
      <c r="N124" s="216">
        <f t="shared" si="60"/>
        <v>0</v>
      </c>
      <c r="O124" s="216">
        <f t="shared" si="60"/>
        <v>0</v>
      </c>
      <c r="P124" s="216">
        <f t="shared" si="60"/>
        <v>0</v>
      </c>
      <c r="Q124" s="216">
        <f t="shared" si="60"/>
        <v>0</v>
      </c>
      <c r="R124" s="216">
        <f t="shared" si="60"/>
        <v>0</v>
      </c>
      <c r="S124" s="216">
        <f t="shared" si="60"/>
        <v>0</v>
      </c>
      <c r="T124" s="216">
        <f t="shared" si="60"/>
        <v>0</v>
      </c>
      <c r="U124" s="216">
        <f t="shared" si="60"/>
        <v>0</v>
      </c>
      <c r="V124" s="216">
        <f t="shared" si="60"/>
        <v>0</v>
      </c>
      <c r="W124" s="216">
        <f t="shared" si="60"/>
        <v>0</v>
      </c>
      <c r="X124" s="216">
        <f t="shared" si="60"/>
        <v>0</v>
      </c>
      <c r="Y124" s="216">
        <f t="shared" si="60"/>
        <v>0</v>
      </c>
      <c r="Z124" s="216">
        <f t="shared" si="60"/>
        <v>0</v>
      </c>
      <c r="AA124" s="216">
        <f t="shared" si="60"/>
        <v>0</v>
      </c>
      <c r="AB124" s="216">
        <f t="shared" si="60"/>
        <v>0</v>
      </c>
      <c r="AC124" s="216">
        <f t="shared" si="60"/>
        <v>0</v>
      </c>
      <c r="AD124" s="216">
        <f t="shared" si="60"/>
        <v>0</v>
      </c>
      <c r="AE124" s="216">
        <f t="shared" si="60"/>
        <v>0</v>
      </c>
      <c r="AF124" s="216">
        <f t="shared" si="60"/>
        <v>0</v>
      </c>
      <c r="AG124" s="216">
        <f t="shared" si="60"/>
        <v>0</v>
      </c>
      <c r="AH124" s="216">
        <f t="shared" si="60"/>
        <v>0</v>
      </c>
      <c r="AI124" s="216">
        <f t="shared" si="60"/>
        <v>0</v>
      </c>
      <c r="AJ124" s="216">
        <f t="shared" si="60"/>
        <v>0</v>
      </c>
      <c r="AK124" s="216">
        <f t="shared" si="60"/>
        <v>0</v>
      </c>
      <c r="AL124" s="216">
        <f t="shared" si="60"/>
        <v>0</v>
      </c>
      <c r="AM124" s="216">
        <f t="shared" si="60"/>
        <v>0</v>
      </c>
      <c r="AN124" s="216">
        <f t="shared" si="60"/>
        <v>0</v>
      </c>
      <c r="AO124" s="216">
        <f t="shared" si="60"/>
        <v>0</v>
      </c>
      <c r="AP124" s="216">
        <f t="shared" si="60"/>
        <v>0</v>
      </c>
      <c r="AQ124" s="216">
        <f t="shared" si="60"/>
        <v>0</v>
      </c>
    </row>
    <row r="125" spans="2:43" s="126" customFormat="1" ht="12">
      <c r="B125" s="126" t="s">
        <v>62</v>
      </c>
      <c r="C125" s="216">
        <f>C9</f>
        <v>0</v>
      </c>
      <c r="D125" s="216">
        <f aca="true" t="shared" si="61" ref="D125:AQ125">+-(MIN(0,D47))</f>
        <v>0</v>
      </c>
      <c r="E125" s="216">
        <f t="shared" si="61"/>
        <v>0</v>
      </c>
      <c r="F125" s="216">
        <f t="shared" si="61"/>
        <v>0</v>
      </c>
      <c r="G125" s="216">
        <f t="shared" si="61"/>
        <v>0</v>
      </c>
      <c r="H125" s="216">
        <f t="shared" si="61"/>
        <v>0</v>
      </c>
      <c r="I125" s="216">
        <f t="shared" si="61"/>
        <v>0</v>
      </c>
      <c r="J125" s="216">
        <f t="shared" si="61"/>
        <v>0</v>
      </c>
      <c r="K125" s="216">
        <f t="shared" si="61"/>
        <v>0</v>
      </c>
      <c r="L125" s="216">
        <f t="shared" si="61"/>
        <v>0</v>
      </c>
      <c r="M125" s="216">
        <f t="shared" si="61"/>
        <v>0</v>
      </c>
      <c r="N125" s="216">
        <f t="shared" si="61"/>
        <v>0</v>
      </c>
      <c r="O125" s="216">
        <f t="shared" si="61"/>
        <v>0</v>
      </c>
      <c r="P125" s="216">
        <f t="shared" si="61"/>
        <v>0</v>
      </c>
      <c r="Q125" s="216">
        <f t="shared" si="61"/>
        <v>0</v>
      </c>
      <c r="R125" s="216">
        <f t="shared" si="61"/>
        <v>0</v>
      </c>
      <c r="S125" s="216">
        <f t="shared" si="61"/>
        <v>0</v>
      </c>
      <c r="T125" s="216">
        <f t="shared" si="61"/>
        <v>0</v>
      </c>
      <c r="U125" s="216">
        <f t="shared" si="61"/>
        <v>0</v>
      </c>
      <c r="V125" s="216">
        <f t="shared" si="61"/>
        <v>0</v>
      </c>
      <c r="W125" s="216">
        <f t="shared" si="61"/>
        <v>0</v>
      </c>
      <c r="X125" s="216">
        <f t="shared" si="61"/>
        <v>0</v>
      </c>
      <c r="Y125" s="216">
        <f t="shared" si="61"/>
        <v>0</v>
      </c>
      <c r="Z125" s="216">
        <f t="shared" si="61"/>
        <v>0</v>
      </c>
      <c r="AA125" s="216">
        <f t="shared" si="61"/>
        <v>0</v>
      </c>
      <c r="AB125" s="216">
        <f t="shared" si="61"/>
        <v>0</v>
      </c>
      <c r="AC125" s="216">
        <f t="shared" si="61"/>
        <v>0</v>
      </c>
      <c r="AD125" s="216">
        <f t="shared" si="61"/>
        <v>0</v>
      </c>
      <c r="AE125" s="216">
        <f t="shared" si="61"/>
        <v>0</v>
      </c>
      <c r="AF125" s="216">
        <f t="shared" si="61"/>
        <v>0</v>
      </c>
      <c r="AG125" s="216">
        <f t="shared" si="61"/>
        <v>0</v>
      </c>
      <c r="AH125" s="216">
        <f t="shared" si="61"/>
        <v>0</v>
      </c>
      <c r="AI125" s="216">
        <f t="shared" si="61"/>
        <v>0</v>
      </c>
      <c r="AJ125" s="216">
        <f t="shared" si="61"/>
        <v>0</v>
      </c>
      <c r="AK125" s="216">
        <f t="shared" si="61"/>
        <v>0</v>
      </c>
      <c r="AL125" s="216">
        <f t="shared" si="61"/>
        <v>0</v>
      </c>
      <c r="AM125" s="216">
        <f t="shared" si="61"/>
        <v>0</v>
      </c>
      <c r="AN125" s="216">
        <f t="shared" si="61"/>
        <v>0</v>
      </c>
      <c r="AO125" s="216">
        <f t="shared" si="61"/>
        <v>0</v>
      </c>
      <c r="AP125" s="216">
        <f t="shared" si="61"/>
        <v>0</v>
      </c>
      <c r="AQ125" s="216">
        <f t="shared" si="61"/>
        <v>0</v>
      </c>
    </row>
    <row r="126" spans="2:43" s="126" customFormat="1" ht="12">
      <c r="B126" s="126" t="s">
        <v>63</v>
      </c>
      <c r="C126" s="216">
        <f aca="true" t="shared" si="62" ref="C126:AQ126">+-(MAX(0,C47))</f>
        <v>0</v>
      </c>
      <c r="D126" s="216">
        <f t="shared" si="62"/>
        <v>0</v>
      </c>
      <c r="E126" s="216">
        <f t="shared" si="62"/>
        <v>0</v>
      </c>
      <c r="F126" s="216">
        <f t="shared" si="62"/>
        <v>0</v>
      </c>
      <c r="G126" s="216">
        <f t="shared" si="62"/>
        <v>0</v>
      </c>
      <c r="H126" s="216">
        <f t="shared" si="62"/>
        <v>0</v>
      </c>
      <c r="I126" s="216">
        <f t="shared" si="62"/>
        <v>0</v>
      </c>
      <c r="J126" s="216">
        <f t="shared" si="62"/>
        <v>0</v>
      </c>
      <c r="K126" s="216">
        <f t="shared" si="62"/>
        <v>0</v>
      </c>
      <c r="L126" s="216">
        <f t="shared" si="62"/>
        <v>0</v>
      </c>
      <c r="M126" s="216">
        <f t="shared" si="62"/>
        <v>0</v>
      </c>
      <c r="N126" s="216">
        <f t="shared" si="62"/>
        <v>0</v>
      </c>
      <c r="O126" s="216">
        <f t="shared" si="62"/>
        <v>0</v>
      </c>
      <c r="P126" s="216">
        <f t="shared" si="62"/>
        <v>0</v>
      </c>
      <c r="Q126" s="216">
        <f t="shared" si="62"/>
        <v>0</v>
      </c>
      <c r="R126" s="216">
        <f t="shared" si="62"/>
        <v>0</v>
      </c>
      <c r="S126" s="216">
        <f t="shared" si="62"/>
        <v>0</v>
      </c>
      <c r="T126" s="216">
        <f t="shared" si="62"/>
        <v>0</v>
      </c>
      <c r="U126" s="216">
        <f t="shared" si="62"/>
        <v>0</v>
      </c>
      <c r="V126" s="216">
        <f t="shared" si="62"/>
        <v>0</v>
      </c>
      <c r="W126" s="216">
        <f t="shared" si="62"/>
        <v>0</v>
      </c>
      <c r="X126" s="216">
        <f t="shared" si="62"/>
        <v>0</v>
      </c>
      <c r="Y126" s="216">
        <f t="shared" si="62"/>
        <v>0</v>
      </c>
      <c r="Z126" s="216">
        <f t="shared" si="62"/>
        <v>0</v>
      </c>
      <c r="AA126" s="216">
        <f t="shared" si="62"/>
        <v>0</v>
      </c>
      <c r="AB126" s="216">
        <f t="shared" si="62"/>
        <v>0</v>
      </c>
      <c r="AC126" s="216">
        <f t="shared" si="62"/>
        <v>0</v>
      </c>
      <c r="AD126" s="216">
        <f t="shared" si="62"/>
        <v>0</v>
      </c>
      <c r="AE126" s="216">
        <f t="shared" si="62"/>
        <v>0</v>
      </c>
      <c r="AF126" s="216">
        <f t="shared" si="62"/>
        <v>0</v>
      </c>
      <c r="AG126" s="216">
        <f t="shared" si="62"/>
        <v>0</v>
      </c>
      <c r="AH126" s="216">
        <f t="shared" si="62"/>
        <v>0</v>
      </c>
      <c r="AI126" s="216">
        <f t="shared" si="62"/>
        <v>0</v>
      </c>
      <c r="AJ126" s="216">
        <f t="shared" si="62"/>
        <v>0</v>
      </c>
      <c r="AK126" s="216">
        <f t="shared" si="62"/>
        <v>0</v>
      </c>
      <c r="AL126" s="216">
        <f t="shared" si="62"/>
        <v>0</v>
      </c>
      <c r="AM126" s="216">
        <f t="shared" si="62"/>
        <v>0</v>
      </c>
      <c r="AN126" s="216">
        <f t="shared" si="62"/>
        <v>0</v>
      </c>
      <c r="AO126" s="216">
        <f t="shared" si="62"/>
        <v>0</v>
      </c>
      <c r="AP126" s="216">
        <f t="shared" si="62"/>
        <v>0</v>
      </c>
      <c r="AQ126" s="216">
        <f t="shared" si="62"/>
        <v>0</v>
      </c>
    </row>
    <row r="127" spans="2:43" s="126" customFormat="1" ht="12">
      <c r="B127" s="126" t="s">
        <v>20</v>
      </c>
      <c r="C127" s="216">
        <f aca="true" t="shared" si="63" ref="C127:AQ127">SUM(C124:C126)</f>
        <v>0</v>
      </c>
      <c r="D127" s="216">
        <f t="shared" si="63"/>
        <v>0</v>
      </c>
      <c r="E127" s="216">
        <f t="shared" si="63"/>
        <v>0</v>
      </c>
      <c r="F127" s="216">
        <f t="shared" si="63"/>
        <v>0</v>
      </c>
      <c r="G127" s="216">
        <f t="shared" si="63"/>
        <v>0</v>
      </c>
      <c r="H127" s="216">
        <f t="shared" si="63"/>
        <v>0</v>
      </c>
      <c r="I127" s="216">
        <f t="shared" si="63"/>
        <v>0</v>
      </c>
      <c r="J127" s="216">
        <f t="shared" si="63"/>
        <v>0</v>
      </c>
      <c r="K127" s="216">
        <f t="shared" si="63"/>
        <v>0</v>
      </c>
      <c r="L127" s="216">
        <f t="shared" si="63"/>
        <v>0</v>
      </c>
      <c r="M127" s="216">
        <f t="shared" si="63"/>
        <v>0</v>
      </c>
      <c r="N127" s="216">
        <f t="shared" si="63"/>
        <v>0</v>
      </c>
      <c r="O127" s="216">
        <f t="shared" si="63"/>
        <v>0</v>
      </c>
      <c r="P127" s="216">
        <f t="shared" si="63"/>
        <v>0</v>
      </c>
      <c r="Q127" s="216">
        <f t="shared" si="63"/>
        <v>0</v>
      </c>
      <c r="R127" s="216">
        <f t="shared" si="63"/>
        <v>0</v>
      </c>
      <c r="S127" s="216">
        <f t="shared" si="63"/>
        <v>0</v>
      </c>
      <c r="T127" s="216">
        <f t="shared" si="63"/>
        <v>0</v>
      </c>
      <c r="U127" s="216">
        <f t="shared" si="63"/>
        <v>0</v>
      </c>
      <c r="V127" s="216">
        <f t="shared" si="63"/>
        <v>0</v>
      </c>
      <c r="W127" s="216">
        <f t="shared" si="63"/>
        <v>0</v>
      </c>
      <c r="X127" s="216">
        <f t="shared" si="63"/>
        <v>0</v>
      </c>
      <c r="Y127" s="216">
        <f t="shared" si="63"/>
        <v>0</v>
      </c>
      <c r="Z127" s="216">
        <f t="shared" si="63"/>
        <v>0</v>
      </c>
      <c r="AA127" s="216">
        <f t="shared" si="63"/>
        <v>0</v>
      </c>
      <c r="AB127" s="216">
        <f t="shared" si="63"/>
        <v>0</v>
      </c>
      <c r="AC127" s="216">
        <f t="shared" si="63"/>
        <v>0</v>
      </c>
      <c r="AD127" s="216">
        <f t="shared" si="63"/>
        <v>0</v>
      </c>
      <c r="AE127" s="216">
        <f t="shared" si="63"/>
        <v>0</v>
      </c>
      <c r="AF127" s="216">
        <f t="shared" si="63"/>
        <v>0</v>
      </c>
      <c r="AG127" s="216">
        <f t="shared" si="63"/>
        <v>0</v>
      </c>
      <c r="AH127" s="216">
        <f t="shared" si="63"/>
        <v>0</v>
      </c>
      <c r="AI127" s="216">
        <f t="shared" si="63"/>
        <v>0</v>
      </c>
      <c r="AJ127" s="216">
        <f t="shared" si="63"/>
        <v>0</v>
      </c>
      <c r="AK127" s="216">
        <f t="shared" si="63"/>
        <v>0</v>
      </c>
      <c r="AL127" s="216">
        <f t="shared" si="63"/>
        <v>0</v>
      </c>
      <c r="AM127" s="216">
        <f t="shared" si="63"/>
        <v>0</v>
      </c>
      <c r="AN127" s="216">
        <f t="shared" si="63"/>
        <v>0</v>
      </c>
      <c r="AO127" s="216">
        <f t="shared" si="63"/>
        <v>0</v>
      </c>
      <c r="AP127" s="216">
        <f t="shared" si="63"/>
        <v>0</v>
      </c>
      <c r="AQ127" s="216">
        <f t="shared" si="63"/>
        <v>0</v>
      </c>
    </row>
    <row r="128" spans="2:43" s="126" customFormat="1" ht="12">
      <c r="B128" s="126" t="s">
        <v>64</v>
      </c>
      <c r="C128" s="32">
        <f>+H22</f>
        <v>0.038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2:47" s="126" customFormat="1" ht="12">
      <c r="B129" s="126" t="s">
        <v>65</v>
      </c>
      <c r="C129" s="216">
        <f aca="true" t="shared" si="64" ref="C129:AQ129">+C124*$C$128</f>
        <v>0</v>
      </c>
      <c r="D129" s="216">
        <f t="shared" si="64"/>
        <v>0</v>
      </c>
      <c r="E129" s="216">
        <f t="shared" si="64"/>
        <v>0</v>
      </c>
      <c r="F129" s="216">
        <f t="shared" si="64"/>
        <v>0</v>
      </c>
      <c r="G129" s="216">
        <f t="shared" si="64"/>
        <v>0</v>
      </c>
      <c r="H129" s="216">
        <f t="shared" si="64"/>
        <v>0</v>
      </c>
      <c r="I129" s="216">
        <f t="shared" si="64"/>
        <v>0</v>
      </c>
      <c r="J129" s="216">
        <f t="shared" si="64"/>
        <v>0</v>
      </c>
      <c r="K129" s="216">
        <f t="shared" si="64"/>
        <v>0</v>
      </c>
      <c r="L129" s="216">
        <f t="shared" si="64"/>
        <v>0</v>
      </c>
      <c r="M129" s="216">
        <f t="shared" si="64"/>
        <v>0</v>
      </c>
      <c r="N129" s="216">
        <f t="shared" si="64"/>
        <v>0</v>
      </c>
      <c r="O129" s="216">
        <f t="shared" si="64"/>
        <v>0</v>
      </c>
      <c r="P129" s="216">
        <f t="shared" si="64"/>
        <v>0</v>
      </c>
      <c r="Q129" s="216">
        <f t="shared" si="64"/>
        <v>0</v>
      </c>
      <c r="R129" s="216">
        <f t="shared" si="64"/>
        <v>0</v>
      </c>
      <c r="S129" s="216">
        <f t="shared" si="64"/>
        <v>0</v>
      </c>
      <c r="T129" s="216">
        <f t="shared" si="64"/>
        <v>0</v>
      </c>
      <c r="U129" s="216">
        <f t="shared" si="64"/>
        <v>0</v>
      </c>
      <c r="V129" s="216">
        <f t="shared" si="64"/>
        <v>0</v>
      </c>
      <c r="W129" s="216">
        <f t="shared" si="64"/>
        <v>0</v>
      </c>
      <c r="X129" s="216">
        <f t="shared" si="64"/>
        <v>0</v>
      </c>
      <c r="Y129" s="216">
        <f t="shared" si="64"/>
        <v>0</v>
      </c>
      <c r="Z129" s="216">
        <f t="shared" si="64"/>
        <v>0</v>
      </c>
      <c r="AA129" s="216">
        <f t="shared" si="64"/>
        <v>0</v>
      </c>
      <c r="AB129" s="216">
        <f t="shared" si="64"/>
        <v>0</v>
      </c>
      <c r="AC129" s="216">
        <f t="shared" si="64"/>
        <v>0</v>
      </c>
      <c r="AD129" s="216">
        <f t="shared" si="64"/>
        <v>0</v>
      </c>
      <c r="AE129" s="216">
        <f t="shared" si="64"/>
        <v>0</v>
      </c>
      <c r="AF129" s="216">
        <f t="shared" si="64"/>
        <v>0</v>
      </c>
      <c r="AG129" s="216">
        <f t="shared" si="64"/>
        <v>0</v>
      </c>
      <c r="AH129" s="216">
        <f t="shared" si="64"/>
        <v>0</v>
      </c>
      <c r="AI129" s="216">
        <f t="shared" si="64"/>
        <v>0</v>
      </c>
      <c r="AJ129" s="216">
        <f t="shared" si="64"/>
        <v>0</v>
      </c>
      <c r="AK129" s="216">
        <f t="shared" si="64"/>
        <v>0</v>
      </c>
      <c r="AL129" s="216">
        <f t="shared" si="64"/>
        <v>0</v>
      </c>
      <c r="AM129" s="216">
        <f t="shared" si="64"/>
        <v>0</v>
      </c>
      <c r="AN129" s="216">
        <f t="shared" si="64"/>
        <v>0</v>
      </c>
      <c r="AO129" s="216">
        <f t="shared" si="64"/>
        <v>0</v>
      </c>
      <c r="AP129" s="216">
        <f t="shared" si="64"/>
        <v>0</v>
      </c>
      <c r="AQ129" s="216">
        <f t="shared" si="64"/>
        <v>0</v>
      </c>
      <c r="AS129" s="221"/>
      <c r="AT129" s="221"/>
      <c r="AU129" s="221"/>
    </row>
    <row r="130" spans="2:43" s="126" customFormat="1" ht="12">
      <c r="B130" s="14"/>
      <c r="C130" s="3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</row>
    <row r="131" spans="2:43" s="126" customFormat="1" ht="12">
      <c r="B131" s="222" t="s">
        <v>55</v>
      </c>
      <c r="C131" s="223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4"/>
      <c r="AK131" s="224"/>
      <c r="AL131" s="224"/>
      <c r="AM131" s="224"/>
      <c r="AN131" s="224"/>
      <c r="AO131" s="224"/>
      <c r="AP131" s="224"/>
      <c r="AQ131" s="224"/>
    </row>
    <row r="132" spans="2:43" s="126" customFormat="1" ht="12">
      <c r="B132" s="225" t="s">
        <v>50</v>
      </c>
      <c r="C132" s="226">
        <f>SUM(D100:AQ100)</f>
        <v>1154182.7200782718</v>
      </c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</row>
    <row r="133" spans="2:43" s="126" customFormat="1" ht="12">
      <c r="B133" s="227" t="s">
        <v>51</v>
      </c>
      <c r="C133" s="228">
        <f>C121</f>
        <v>1.4</v>
      </c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  <c r="AN133" s="224"/>
      <c r="AO133" s="224"/>
      <c r="AP133" s="224"/>
      <c r="AQ133" s="224"/>
    </row>
    <row r="134" spans="2:43" s="126" customFormat="1" ht="12">
      <c r="B134" s="227" t="s">
        <v>52</v>
      </c>
      <c r="C134" s="229">
        <f>C133*C132</f>
        <v>1615855.8081095805</v>
      </c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  <c r="AO134" s="224"/>
      <c r="AP134" s="224"/>
      <c r="AQ134" s="224"/>
    </row>
    <row r="135" spans="2:43" s="126" customFormat="1" ht="12">
      <c r="B135" s="227" t="s">
        <v>57</v>
      </c>
      <c r="C135" s="229">
        <f>SUMPRODUCT(D44:AQ44,D98:AQ98)</f>
        <v>458552.45487237594</v>
      </c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</row>
    <row r="136" spans="2:43" s="126" customFormat="1" ht="12">
      <c r="B136" s="230" t="s">
        <v>56</v>
      </c>
      <c r="C136" s="231">
        <f>C135-C134</f>
        <v>-1157303.3532372047</v>
      </c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224"/>
      <c r="AP136" s="224"/>
      <c r="AQ136" s="224"/>
    </row>
    <row r="137" spans="2:43" s="126" customFormat="1" ht="12">
      <c r="B137" s="11"/>
      <c r="C137" s="232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4"/>
      <c r="AK137" s="224"/>
      <c r="AL137" s="224"/>
      <c r="AM137" s="224"/>
      <c r="AN137" s="224"/>
      <c r="AO137" s="224"/>
      <c r="AP137" s="224"/>
      <c r="AQ137" s="224"/>
    </row>
    <row r="138" spans="2:43" s="126" customFormat="1" ht="12">
      <c r="B138" s="233" t="s">
        <v>89</v>
      </c>
      <c r="C138" s="234" t="s">
        <v>88</v>
      </c>
      <c r="D138" s="112">
        <v>1</v>
      </c>
      <c r="E138" s="112">
        <v>2</v>
      </c>
      <c r="F138" s="112">
        <v>3</v>
      </c>
      <c r="G138" s="112">
        <v>4</v>
      </c>
      <c r="H138" s="112">
        <v>5</v>
      </c>
      <c r="I138" s="112">
        <v>6</v>
      </c>
      <c r="J138" s="112">
        <v>7</v>
      </c>
      <c r="K138" s="112">
        <v>8</v>
      </c>
      <c r="L138" s="112">
        <v>9</v>
      </c>
      <c r="M138" s="112">
        <v>10</v>
      </c>
      <c r="N138" s="112">
        <v>11</v>
      </c>
      <c r="O138" s="112">
        <v>12</v>
      </c>
      <c r="P138" s="112">
        <v>13</v>
      </c>
      <c r="Q138" s="112">
        <v>14</v>
      </c>
      <c r="R138" s="112">
        <v>15</v>
      </c>
      <c r="S138" s="112">
        <v>16</v>
      </c>
      <c r="T138" s="112">
        <v>17</v>
      </c>
      <c r="U138" s="112">
        <v>18</v>
      </c>
      <c r="V138" s="112">
        <v>19</v>
      </c>
      <c r="W138" s="112">
        <v>20</v>
      </c>
      <c r="X138" s="112">
        <v>21</v>
      </c>
      <c r="Y138" s="112">
        <v>22</v>
      </c>
      <c r="Z138" s="112">
        <v>23</v>
      </c>
      <c r="AA138" s="112">
        <v>24</v>
      </c>
      <c r="AB138" s="112">
        <v>25</v>
      </c>
      <c r="AC138" s="112">
        <v>26</v>
      </c>
      <c r="AD138" s="112">
        <v>27</v>
      </c>
      <c r="AE138" s="112">
        <v>28</v>
      </c>
      <c r="AF138" s="112">
        <v>29</v>
      </c>
      <c r="AG138" s="112">
        <v>30</v>
      </c>
      <c r="AH138" s="112">
        <v>31</v>
      </c>
      <c r="AI138" s="112">
        <v>32</v>
      </c>
      <c r="AJ138" s="112">
        <v>33</v>
      </c>
      <c r="AK138" s="112">
        <v>34</v>
      </c>
      <c r="AL138" s="112">
        <v>35</v>
      </c>
      <c r="AM138" s="112">
        <v>36</v>
      </c>
      <c r="AN138" s="112">
        <v>37</v>
      </c>
      <c r="AO138" s="112">
        <v>38</v>
      </c>
      <c r="AP138" s="112">
        <v>39</v>
      </c>
      <c r="AQ138" s="112">
        <v>40</v>
      </c>
    </row>
    <row r="139" s="126" customFormat="1" ht="12">
      <c r="C139" s="126">
        <v>0</v>
      </c>
    </row>
    <row r="140" spans="2:43" s="126" customFormat="1" ht="12">
      <c r="B140" s="13"/>
      <c r="C140" s="126">
        <v>3</v>
      </c>
      <c r="D140" s="32">
        <v>0.3333</v>
      </c>
      <c r="E140" s="32">
        <v>0.4445</v>
      </c>
      <c r="F140" s="32">
        <v>0.1481</v>
      </c>
      <c r="G140" s="32">
        <v>0.0741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</row>
    <row r="141" spans="2:47" s="126" customFormat="1" ht="12">
      <c r="B141" s="13"/>
      <c r="C141" s="13">
        <v>5</v>
      </c>
      <c r="D141" s="32">
        <v>0.2</v>
      </c>
      <c r="E141" s="32">
        <v>0.32</v>
      </c>
      <c r="F141" s="32">
        <v>0.192</v>
      </c>
      <c r="G141" s="32">
        <v>0.1152</v>
      </c>
      <c r="H141" s="32">
        <v>0.1152</v>
      </c>
      <c r="I141" s="32">
        <v>0.0576</v>
      </c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</row>
    <row r="142" spans="2:47" s="126" customFormat="1" ht="12">
      <c r="B142" s="13"/>
      <c r="C142" s="13">
        <v>7</v>
      </c>
      <c r="D142" s="32">
        <v>0.1429</v>
      </c>
      <c r="E142" s="32">
        <v>0.24489999999999998</v>
      </c>
      <c r="F142" s="32">
        <v>0.17489999999999997</v>
      </c>
      <c r="G142" s="32">
        <v>0.1249</v>
      </c>
      <c r="H142" s="32">
        <v>0.0893</v>
      </c>
      <c r="I142" s="32">
        <v>0.0892</v>
      </c>
      <c r="J142" s="32">
        <v>0.08929999999999999</v>
      </c>
      <c r="K142" s="32">
        <v>0.0446</v>
      </c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</row>
    <row r="143" spans="3:24" ht="12">
      <c r="C143" s="13">
        <v>10</v>
      </c>
      <c r="D143" s="32">
        <v>0.1</v>
      </c>
      <c r="E143" s="32">
        <v>0.18</v>
      </c>
      <c r="F143" s="32">
        <v>0.14400000000000002</v>
      </c>
      <c r="G143" s="32">
        <v>0.1152</v>
      </c>
      <c r="H143" s="32">
        <v>0.0922</v>
      </c>
      <c r="I143" s="32">
        <v>0.0737</v>
      </c>
      <c r="J143" s="32">
        <v>0.0655</v>
      </c>
      <c r="K143" s="32">
        <v>0.0655</v>
      </c>
      <c r="L143" s="32">
        <v>0.06559999999999999</v>
      </c>
      <c r="M143" s="32">
        <v>0.0655</v>
      </c>
      <c r="N143" s="32">
        <v>0.032799999999999996</v>
      </c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3:24" ht="12">
      <c r="C144" s="13">
        <v>15</v>
      </c>
      <c r="D144" s="32">
        <v>0.05</v>
      </c>
      <c r="E144" s="32">
        <v>0.095</v>
      </c>
      <c r="F144" s="32">
        <v>0.0855</v>
      </c>
      <c r="G144" s="32">
        <v>0.077</v>
      </c>
      <c r="H144" s="32">
        <v>0.0693</v>
      </c>
      <c r="I144" s="32">
        <v>0.0623</v>
      </c>
      <c r="J144" s="32">
        <v>0.059</v>
      </c>
      <c r="K144" s="32">
        <v>0.059000000000000004</v>
      </c>
      <c r="L144" s="32">
        <v>0.0591</v>
      </c>
      <c r="M144" s="32">
        <v>0.059000000000000004</v>
      </c>
      <c r="N144" s="32">
        <v>0.0591</v>
      </c>
      <c r="O144" s="32">
        <v>0.059000000000000004</v>
      </c>
      <c r="P144" s="32">
        <v>0.0591</v>
      </c>
      <c r="Q144" s="32">
        <v>0.059000000000000004</v>
      </c>
      <c r="R144" s="32">
        <v>0.0591</v>
      </c>
      <c r="S144" s="32">
        <v>0.029500000000000002</v>
      </c>
      <c r="T144" s="32"/>
      <c r="U144" s="32"/>
      <c r="V144" s="32"/>
      <c r="W144" s="32"/>
      <c r="X144" s="32"/>
    </row>
    <row r="145" spans="3:24" ht="12">
      <c r="C145" s="13">
        <v>20</v>
      </c>
      <c r="D145" s="32">
        <v>0.0375</v>
      </c>
      <c r="E145" s="32">
        <v>0.07219</v>
      </c>
      <c r="F145" s="32">
        <v>0.06677</v>
      </c>
      <c r="G145" s="32">
        <v>0.06177</v>
      </c>
      <c r="H145" s="32">
        <v>0.05713</v>
      </c>
      <c r="I145" s="32">
        <v>0.05285</v>
      </c>
      <c r="J145" s="32">
        <v>0.04888</v>
      </c>
      <c r="K145" s="32">
        <v>0.04522</v>
      </c>
      <c r="L145" s="32">
        <v>0.04462</v>
      </c>
      <c r="M145" s="32">
        <v>0.044610000000000004</v>
      </c>
      <c r="N145" s="32">
        <v>0.04462</v>
      </c>
      <c r="O145" s="32">
        <v>0.044610000000000004</v>
      </c>
      <c r="P145" s="32">
        <v>0.04462</v>
      </c>
      <c r="Q145" s="32">
        <v>0.044610000000000004</v>
      </c>
      <c r="R145" s="32">
        <v>0.04462</v>
      </c>
      <c r="S145" s="32">
        <v>0.044610000000000004</v>
      </c>
      <c r="T145" s="32">
        <v>0.04462</v>
      </c>
      <c r="U145" s="32">
        <v>0.044610000000000004</v>
      </c>
      <c r="V145" s="32">
        <v>0.04462</v>
      </c>
      <c r="W145" s="32">
        <v>0.044610000000000004</v>
      </c>
      <c r="X145" s="32">
        <v>0.02231</v>
      </c>
    </row>
    <row r="146" spans="3:9" ht="12">
      <c r="C146" s="152" t="s">
        <v>90</v>
      </c>
      <c r="D146" s="235">
        <f>50%+50%*D141</f>
        <v>0.6</v>
      </c>
      <c r="E146" s="236">
        <f>50%*E141</f>
        <v>0.16</v>
      </c>
      <c r="F146" s="236">
        <f>50%*F141</f>
        <v>0.096</v>
      </c>
      <c r="G146" s="236">
        <f>50%*G141</f>
        <v>0.0576</v>
      </c>
      <c r="H146" s="236">
        <f>50%*H141</f>
        <v>0.0576</v>
      </c>
      <c r="I146" s="236">
        <f>50%*I141</f>
        <v>0.0288</v>
      </c>
    </row>
    <row r="148" spans="2:43" s="126" customFormat="1" ht="12">
      <c r="B148" s="233" t="s">
        <v>224</v>
      </c>
      <c r="C148" s="234" t="s">
        <v>88</v>
      </c>
      <c r="D148" s="112">
        <v>1</v>
      </c>
      <c r="E148" s="112">
        <v>2</v>
      </c>
      <c r="F148" s="112">
        <v>3</v>
      </c>
      <c r="G148" s="112">
        <v>4</v>
      </c>
      <c r="H148" s="112">
        <v>5</v>
      </c>
      <c r="I148" s="112">
        <v>6</v>
      </c>
      <c r="J148" s="112">
        <v>7</v>
      </c>
      <c r="K148" s="112">
        <v>8</v>
      </c>
      <c r="L148" s="112">
        <v>9</v>
      </c>
      <c r="M148" s="112">
        <v>10</v>
      </c>
      <c r="N148" s="112">
        <v>11</v>
      </c>
      <c r="O148" s="112">
        <v>12</v>
      </c>
      <c r="P148" s="112">
        <v>13</v>
      </c>
      <c r="Q148" s="112">
        <v>14</v>
      </c>
      <c r="R148" s="112">
        <v>15</v>
      </c>
      <c r="S148" s="112">
        <v>16</v>
      </c>
      <c r="T148" s="112">
        <v>17</v>
      </c>
      <c r="U148" s="112">
        <v>18</v>
      </c>
      <c r="V148" s="112">
        <v>19</v>
      </c>
      <c r="W148" s="112">
        <v>20</v>
      </c>
      <c r="X148" s="112">
        <v>21</v>
      </c>
      <c r="Y148" s="112">
        <v>22</v>
      </c>
      <c r="Z148" s="112">
        <v>23</v>
      </c>
      <c r="AA148" s="112">
        <v>24</v>
      </c>
      <c r="AB148" s="112">
        <v>25</v>
      </c>
      <c r="AC148" s="112">
        <v>26</v>
      </c>
      <c r="AD148" s="112">
        <v>27</v>
      </c>
      <c r="AE148" s="112">
        <v>28</v>
      </c>
      <c r="AF148" s="112">
        <v>29</v>
      </c>
      <c r="AG148" s="112">
        <v>30</v>
      </c>
      <c r="AH148" s="112">
        <v>31</v>
      </c>
      <c r="AI148" s="112">
        <v>32</v>
      </c>
      <c r="AJ148" s="112">
        <v>33</v>
      </c>
      <c r="AK148" s="112">
        <v>34</v>
      </c>
      <c r="AL148" s="112">
        <v>35</v>
      </c>
      <c r="AM148" s="112">
        <v>36</v>
      </c>
      <c r="AN148" s="112">
        <v>37</v>
      </c>
      <c r="AO148" s="112">
        <v>38</v>
      </c>
      <c r="AP148" s="112">
        <v>39</v>
      </c>
      <c r="AQ148" s="112">
        <v>40</v>
      </c>
    </row>
    <row r="149" spans="2:23" s="322" customFormat="1" ht="12">
      <c r="B149" s="320" t="s">
        <v>226</v>
      </c>
      <c r="C149" s="321"/>
      <c r="D149" s="322">
        <f aca="true" t="shared" si="65" ref="D149:W149">D35</f>
        <v>68.85257449662903</v>
      </c>
      <c r="E149" s="322">
        <f t="shared" si="65"/>
        <v>69.54110024159532</v>
      </c>
      <c r="F149" s="322">
        <f t="shared" si="65"/>
        <v>70.23651124401127</v>
      </c>
      <c r="G149" s="322">
        <f t="shared" si="65"/>
        <v>70.93887635645139</v>
      </c>
      <c r="H149" s="322">
        <f t="shared" si="65"/>
        <v>71.6482651200159</v>
      </c>
      <c r="I149" s="322">
        <f t="shared" si="65"/>
        <v>72.36474777121607</v>
      </c>
      <c r="J149" s="322">
        <f t="shared" si="65"/>
        <v>73.08839524892824</v>
      </c>
      <c r="K149" s="322">
        <f t="shared" si="65"/>
        <v>73.81927920141752</v>
      </c>
      <c r="L149" s="322">
        <f t="shared" si="65"/>
        <v>74.55747199343169</v>
      </c>
      <c r="M149" s="322">
        <f t="shared" si="65"/>
        <v>75.303046713366</v>
      </c>
      <c r="N149" s="322">
        <f t="shared" si="65"/>
        <v>76.05607718049966</v>
      </c>
      <c r="O149" s="322">
        <f t="shared" si="65"/>
        <v>76.81663795230466</v>
      </c>
      <c r="P149" s="322">
        <f t="shared" si="65"/>
        <v>77.58480433182771</v>
      </c>
      <c r="Q149" s="322">
        <f t="shared" si="65"/>
        <v>78.36065237514599</v>
      </c>
      <c r="R149" s="322">
        <f t="shared" si="65"/>
        <v>79.14425889889745</v>
      </c>
      <c r="S149" s="322">
        <f t="shared" si="65"/>
        <v>79.93570148788642</v>
      </c>
      <c r="T149" s="322">
        <f t="shared" si="65"/>
        <v>80.73505850276528</v>
      </c>
      <c r="U149" s="322">
        <f t="shared" si="65"/>
        <v>81.54240908779293</v>
      </c>
      <c r="V149" s="322">
        <f t="shared" si="65"/>
        <v>82.35783317867086</v>
      </c>
      <c r="W149" s="322">
        <f t="shared" si="65"/>
        <v>83.18141151045756</v>
      </c>
    </row>
    <row r="150" spans="2:23" s="119" customFormat="1" ht="12">
      <c r="B150" s="119" t="s">
        <v>227</v>
      </c>
      <c r="D150" s="119">
        <f>D95</f>
        <v>79.32458405729159</v>
      </c>
      <c r="E150" s="119">
        <f aca="true" t="shared" si="66" ref="E150:W150">E95</f>
        <v>79.79834519787924</v>
      </c>
      <c r="F150" s="119">
        <f t="shared" si="66"/>
        <v>80.2920019192823</v>
      </c>
      <c r="G150" s="119">
        <f t="shared" si="66"/>
        <v>80.8062507811067</v>
      </c>
      <c r="H150" s="119">
        <f t="shared" si="66"/>
        <v>81.34180912774966</v>
      </c>
      <c r="I150" s="119">
        <f t="shared" si="66"/>
        <v>81.89941567182674</v>
      </c>
      <c r="J150" s="119">
        <f t="shared" si="66"/>
        <v>82.47983109362846</v>
      </c>
      <c r="K150" s="119">
        <f t="shared" si="66"/>
        <v>83.08383865704401</v>
      </c>
      <c r="L150" s="119">
        <f t="shared" si="66"/>
        <v>83.71224484240085</v>
      </c>
      <c r="M150" s="119">
        <f t="shared" si="66"/>
        <v>84.36587999668203</v>
      </c>
      <c r="N150" s="119">
        <f t="shared" si="66"/>
        <v>93.0098201920308</v>
      </c>
      <c r="O150" s="119">
        <f t="shared" si="66"/>
        <v>93.77264569656981</v>
      </c>
      <c r="P150" s="119">
        <f t="shared" si="66"/>
        <v>94.56373695199481</v>
      </c>
      <c r="Q150" s="119">
        <f t="shared" si="66"/>
        <v>95.38402942840251</v>
      </c>
      <c r="R150" s="119">
        <f t="shared" si="66"/>
        <v>96.23448601100878</v>
      </c>
      <c r="S150" s="119">
        <f t="shared" si="66"/>
        <v>97.11609776518705</v>
      </c>
      <c r="T150" s="119">
        <f t="shared" si="66"/>
        <v>98.02988472248623</v>
      </c>
      <c r="U150" s="119">
        <f t="shared" si="66"/>
        <v>98.97689668820058</v>
      </c>
      <c r="V150" s="119">
        <f t="shared" si="66"/>
        <v>99.958214071079</v>
      </c>
      <c r="W150" s="119">
        <f t="shared" si="66"/>
        <v>100.97494873577688</v>
      </c>
    </row>
    <row r="151" spans="3:4" ht="12">
      <c r="C151" s="237"/>
      <c r="D151" s="141"/>
    </row>
    <row r="152" spans="3:4" ht="12">
      <c r="C152" s="155"/>
      <c r="D152" s="155"/>
    </row>
    <row r="153" ht="12">
      <c r="D153" s="237"/>
    </row>
    <row r="158" spans="3:24" ht="12"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</row>
    <row r="159" spans="4:24" ht="12"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</row>
    <row r="160" spans="3:24" ht="12"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</row>
  </sheetData>
  <sheetProtection/>
  <mergeCells count="1">
    <mergeCell ref="B2:C2"/>
  </mergeCells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B18" sqref="B18"/>
    </sheetView>
  </sheetViews>
  <sheetFormatPr defaultColWidth="9.140625" defaultRowHeight="12.75"/>
  <cols>
    <col min="1" max="3" width="15.7109375" style="401" customWidth="1"/>
    <col min="4" max="4" width="14.140625" style="401" customWidth="1"/>
    <col min="5" max="6" width="12.00390625" style="401" customWidth="1"/>
    <col min="7" max="7" width="11.28125" style="401" customWidth="1"/>
    <col min="8" max="8" width="9.421875" style="401" bestFit="1" customWidth="1"/>
    <col min="9" max="9" width="9.140625" style="401" customWidth="1"/>
    <col min="10" max="10" width="27.8515625" style="401" customWidth="1"/>
    <col min="11" max="11" width="9.28125" style="401" bestFit="1" customWidth="1"/>
    <col min="12" max="12" width="10.00390625" style="401" bestFit="1" customWidth="1"/>
    <col min="13" max="13" width="9.28125" style="401" bestFit="1" customWidth="1"/>
    <col min="14" max="14" width="9.421875" style="401" bestFit="1" customWidth="1"/>
    <col min="15" max="15" width="10.8515625" style="401" bestFit="1" customWidth="1"/>
    <col min="16" max="16" width="9.28125" style="401" bestFit="1" customWidth="1"/>
    <col min="17" max="17" width="9.140625" style="401" customWidth="1"/>
    <col min="18" max="23" width="9.28125" style="401" bestFit="1" customWidth="1"/>
    <col min="24" max="16384" width="9.140625" style="401" customWidth="1"/>
  </cols>
  <sheetData>
    <row r="1" ht="9.75">
      <c r="A1" s="401" t="s">
        <v>376</v>
      </c>
    </row>
    <row r="2" spans="1:5" ht="11.25" customHeight="1">
      <c r="A2" s="570" t="s">
        <v>371</v>
      </c>
      <c r="B2" s="571"/>
      <c r="C2" s="571"/>
      <c r="D2" s="571"/>
      <c r="E2" s="571"/>
    </row>
    <row r="3" spans="1:5" ht="11.25" customHeight="1">
      <c r="A3" s="570" t="s">
        <v>372</v>
      </c>
      <c r="B3" s="571"/>
      <c r="C3" s="571"/>
      <c r="D3" s="571"/>
      <c r="E3" s="571"/>
    </row>
    <row r="4" spans="1:5" ht="11.25" customHeight="1">
      <c r="A4" s="572" t="s">
        <v>295</v>
      </c>
      <c r="B4" s="571"/>
      <c r="C4" s="571"/>
      <c r="D4" s="571"/>
      <c r="E4" s="571"/>
    </row>
    <row r="5" ht="10.5" thickBot="1">
      <c r="A5" s="446"/>
    </row>
    <row r="6" spans="1:3" ht="12" thickBot="1" thickTop="1">
      <c r="A6" s="447" t="s">
        <v>296</v>
      </c>
      <c r="B6" s="448" t="s">
        <v>297</v>
      </c>
      <c r="C6" s="449" t="s">
        <v>298</v>
      </c>
    </row>
    <row r="7" spans="1:3" ht="13.5" thickBot="1" thickTop="1">
      <c r="A7" s="466">
        <v>152.1848</v>
      </c>
      <c r="B7" s="467">
        <v>42156</v>
      </c>
      <c r="C7" s="482">
        <v>42521</v>
      </c>
    </row>
    <row r="8" spans="1:3" ht="12">
      <c r="A8" s="468">
        <v>188.9461</v>
      </c>
      <c r="B8" s="469">
        <v>42522</v>
      </c>
      <c r="C8" s="483">
        <v>42886</v>
      </c>
    </row>
    <row r="9" spans="1:3" ht="21" thickBot="1">
      <c r="A9" s="450" t="s">
        <v>299</v>
      </c>
      <c r="B9" s="451" t="s">
        <v>297</v>
      </c>
      <c r="C9" s="452" t="s">
        <v>298</v>
      </c>
    </row>
    <row r="10" spans="1:3" ht="12.75" thickTop="1">
      <c r="A10" s="484">
        <v>191.8667</v>
      </c>
      <c r="B10" s="485">
        <v>42370</v>
      </c>
      <c r="C10" s="486">
        <v>42735</v>
      </c>
    </row>
    <row r="11" spans="1:3" ht="10.5" thickBot="1">
      <c r="A11" s="453"/>
      <c r="B11" s="454"/>
      <c r="C11" s="455"/>
    </row>
    <row r="12" spans="1:3" ht="21.75" thickBot="1" thickTop="1">
      <c r="A12" s="447" t="s">
        <v>300</v>
      </c>
      <c r="B12" s="448" t="s">
        <v>301</v>
      </c>
      <c r="C12" s="449" t="s">
        <v>302</v>
      </c>
    </row>
    <row r="13" spans="1:3" ht="10.5" thickBot="1">
      <c r="A13" s="453"/>
      <c r="B13" s="456" t="s">
        <v>303</v>
      </c>
      <c r="C13" s="457" t="s">
        <v>303</v>
      </c>
    </row>
    <row r="14" spans="1:3" ht="12" thickBot="1" thickTop="1">
      <c r="A14" s="447" t="s">
        <v>304</v>
      </c>
      <c r="B14" s="448" t="s">
        <v>305</v>
      </c>
      <c r="C14" s="449" t="s">
        <v>306</v>
      </c>
    </row>
    <row r="15" spans="1:3" ht="10.5" thickBot="1">
      <c r="A15" s="453" t="s">
        <v>303</v>
      </c>
      <c r="B15" s="456" t="s">
        <v>303</v>
      </c>
      <c r="C15" s="457" t="s">
        <v>303</v>
      </c>
    </row>
    <row r="16" spans="1:4" ht="21.75" thickBot="1" thickTop="1">
      <c r="A16" s="447" t="s">
        <v>307</v>
      </c>
      <c r="B16" s="448" t="s">
        <v>308</v>
      </c>
      <c r="C16" s="448" t="s">
        <v>309</v>
      </c>
      <c r="D16" s="449" t="s">
        <v>308</v>
      </c>
    </row>
    <row r="17" spans="1:4" ht="21" thickBot="1">
      <c r="A17" s="453" t="s">
        <v>310</v>
      </c>
      <c r="B17" s="454">
        <v>39925</v>
      </c>
      <c r="C17" s="456" t="s">
        <v>311</v>
      </c>
      <c r="D17" s="457" t="s">
        <v>311</v>
      </c>
    </row>
    <row r="18" spans="1:8" ht="10.5" thickTop="1">
      <c r="A18" s="567" t="s">
        <v>312</v>
      </c>
      <c r="B18" s="458" t="s">
        <v>313</v>
      </c>
      <c r="C18" s="458" t="s">
        <v>314</v>
      </c>
      <c r="D18" s="458" t="s">
        <v>315</v>
      </c>
      <c r="E18" s="458" t="s">
        <v>316</v>
      </c>
      <c r="F18" s="458" t="s">
        <v>317</v>
      </c>
      <c r="G18" s="458" t="s">
        <v>318</v>
      </c>
      <c r="H18" s="459" t="s">
        <v>232</v>
      </c>
    </row>
    <row r="19" spans="1:8" ht="9.75">
      <c r="A19" s="568"/>
      <c r="B19" s="460" t="s">
        <v>319</v>
      </c>
      <c r="C19" s="460" t="s">
        <v>318</v>
      </c>
      <c r="D19" s="460" t="s">
        <v>320</v>
      </c>
      <c r="E19" s="460" t="s">
        <v>320</v>
      </c>
      <c r="F19" s="460" t="s">
        <v>320</v>
      </c>
      <c r="G19" s="460" t="s">
        <v>321</v>
      </c>
      <c r="H19" s="461" t="s">
        <v>322</v>
      </c>
    </row>
    <row r="20" spans="1:8" ht="9.75">
      <c r="A20" s="568"/>
      <c r="B20" s="460" t="s">
        <v>323</v>
      </c>
      <c r="C20" s="460" t="s">
        <v>323</v>
      </c>
      <c r="D20" s="460" t="s">
        <v>324</v>
      </c>
      <c r="E20" s="460" t="s">
        <v>324</v>
      </c>
      <c r="F20" s="460" t="s">
        <v>324</v>
      </c>
      <c r="G20" s="460" t="s">
        <v>325</v>
      </c>
      <c r="H20" s="461" t="s">
        <v>321</v>
      </c>
    </row>
    <row r="21" spans="1:15" ht="22.5" thickBot="1">
      <c r="A21" s="569"/>
      <c r="B21" s="451"/>
      <c r="C21" s="451"/>
      <c r="D21" s="451"/>
      <c r="E21" s="451"/>
      <c r="F21" s="451"/>
      <c r="G21" s="451"/>
      <c r="H21" s="452" t="s">
        <v>325</v>
      </c>
      <c r="K21" s="401" t="s">
        <v>329</v>
      </c>
      <c r="L21" s="401" t="s">
        <v>330</v>
      </c>
      <c r="M21" s="423" t="s">
        <v>315</v>
      </c>
      <c r="N21" s="421" t="s">
        <v>354</v>
      </c>
      <c r="O21" s="421" t="s">
        <v>355</v>
      </c>
    </row>
    <row r="22" spans="1:15" ht="12" thickBot="1" thickTop="1">
      <c r="A22" s="470" t="s">
        <v>375</v>
      </c>
      <c r="B22" s="471">
        <v>41663</v>
      </c>
      <c r="C22" s="472">
        <v>36</v>
      </c>
      <c r="D22" s="472">
        <v>120133</v>
      </c>
      <c r="E22" s="472">
        <v>0</v>
      </c>
      <c r="F22" s="472">
        <v>0</v>
      </c>
      <c r="G22" s="472">
        <v>185.94</v>
      </c>
      <c r="H22" s="473">
        <v>186.3</v>
      </c>
      <c r="J22" s="424" t="s">
        <v>237</v>
      </c>
      <c r="K22" s="407">
        <f aca="true" t="shared" si="0" ref="K22:K33">E25</f>
        <v>0</v>
      </c>
      <c r="L22" s="407">
        <f aca="true" t="shared" si="1" ref="L22:L33">F25</f>
        <v>0</v>
      </c>
      <c r="M22" s="407">
        <f aca="true" t="shared" si="2" ref="M22:M33">D34</f>
        <v>106346</v>
      </c>
      <c r="N22" s="401">
        <f aca="true" t="shared" si="3" ref="N22:N33">G34</f>
        <v>181.62</v>
      </c>
      <c r="O22" s="422">
        <f aca="true" t="shared" si="4" ref="O22:O33">M22/N22/(30*24)</f>
        <v>0.8132517221549266</v>
      </c>
    </row>
    <row r="23" spans="1:15" ht="10.5" thickBot="1">
      <c r="A23" s="474" t="s">
        <v>375</v>
      </c>
      <c r="B23" s="475">
        <v>41694</v>
      </c>
      <c r="C23" s="476">
        <v>31</v>
      </c>
      <c r="D23" s="476">
        <v>112483</v>
      </c>
      <c r="E23" s="476">
        <v>0</v>
      </c>
      <c r="F23" s="476">
        <v>0</v>
      </c>
      <c r="G23" s="476">
        <v>202.5</v>
      </c>
      <c r="H23" s="477">
        <v>202.5</v>
      </c>
      <c r="J23" s="424" t="s">
        <v>238</v>
      </c>
      <c r="K23" s="407">
        <f t="shared" si="0"/>
        <v>0</v>
      </c>
      <c r="L23" s="407">
        <f t="shared" si="1"/>
        <v>0</v>
      </c>
      <c r="M23" s="407">
        <f t="shared" si="2"/>
        <v>103357</v>
      </c>
      <c r="N23" s="401">
        <f t="shared" si="3"/>
        <v>190.62</v>
      </c>
      <c r="O23" s="422">
        <f t="shared" si="4"/>
        <v>0.7530762191212301</v>
      </c>
    </row>
    <row r="24" spans="1:15" ht="10.5" thickBot="1">
      <c r="A24" s="474" t="s">
        <v>375</v>
      </c>
      <c r="B24" s="475">
        <v>41722</v>
      </c>
      <c r="C24" s="476">
        <v>28</v>
      </c>
      <c r="D24" s="476">
        <v>87522</v>
      </c>
      <c r="E24" s="476">
        <v>0</v>
      </c>
      <c r="F24" s="476">
        <v>0</v>
      </c>
      <c r="G24" s="476">
        <v>200.88</v>
      </c>
      <c r="H24" s="477">
        <v>201.06</v>
      </c>
      <c r="J24" s="424" t="s">
        <v>239</v>
      </c>
      <c r="K24" s="407">
        <f t="shared" si="0"/>
        <v>0</v>
      </c>
      <c r="L24" s="407">
        <f t="shared" si="1"/>
        <v>0</v>
      </c>
      <c r="M24" s="407">
        <f t="shared" si="2"/>
        <v>95442</v>
      </c>
      <c r="N24" s="401">
        <f t="shared" si="3"/>
        <v>184.86</v>
      </c>
      <c r="O24" s="422">
        <f t="shared" si="4"/>
        <v>0.7170741822640555</v>
      </c>
    </row>
    <row r="25" spans="1:15" ht="10.5" thickBot="1">
      <c r="A25" s="474" t="s">
        <v>375</v>
      </c>
      <c r="B25" s="475">
        <v>41750</v>
      </c>
      <c r="C25" s="476">
        <v>28</v>
      </c>
      <c r="D25" s="476">
        <v>90265</v>
      </c>
      <c r="E25" s="476">
        <v>0</v>
      </c>
      <c r="F25" s="476">
        <v>0</v>
      </c>
      <c r="G25" s="476">
        <v>197.46</v>
      </c>
      <c r="H25" s="477">
        <v>197.46</v>
      </c>
      <c r="J25" s="424" t="s">
        <v>240</v>
      </c>
      <c r="K25" s="407">
        <f t="shared" si="0"/>
        <v>0</v>
      </c>
      <c r="L25" s="407">
        <f t="shared" si="1"/>
        <v>0</v>
      </c>
      <c r="M25" s="407">
        <f t="shared" si="2"/>
        <v>90318</v>
      </c>
      <c r="N25" s="401">
        <f t="shared" si="3"/>
        <v>181.26</v>
      </c>
      <c r="O25" s="422">
        <f t="shared" si="4"/>
        <v>0.6920537717459266</v>
      </c>
    </row>
    <row r="26" spans="1:15" ht="10.5" thickBot="1">
      <c r="A26" s="474" t="s">
        <v>375</v>
      </c>
      <c r="B26" s="475">
        <v>41781</v>
      </c>
      <c r="C26" s="476">
        <v>31</v>
      </c>
      <c r="D26" s="476">
        <v>106813</v>
      </c>
      <c r="E26" s="476">
        <v>0</v>
      </c>
      <c r="F26" s="476">
        <v>0</v>
      </c>
      <c r="G26" s="476">
        <v>197.82</v>
      </c>
      <c r="H26" s="477">
        <v>240.84</v>
      </c>
      <c r="J26" s="424" t="s">
        <v>241</v>
      </c>
      <c r="K26" s="407">
        <f t="shared" si="0"/>
        <v>0</v>
      </c>
      <c r="L26" s="407">
        <f t="shared" si="1"/>
        <v>0</v>
      </c>
      <c r="M26" s="407">
        <f t="shared" si="2"/>
        <v>87371</v>
      </c>
      <c r="N26" s="401">
        <f t="shared" si="3"/>
        <v>164.16</v>
      </c>
      <c r="O26" s="422">
        <f t="shared" si="4"/>
        <v>0.7392093756768465</v>
      </c>
    </row>
    <row r="27" spans="1:15" ht="10.5" thickBot="1">
      <c r="A27" s="474" t="s">
        <v>375</v>
      </c>
      <c r="B27" s="475">
        <v>41810</v>
      </c>
      <c r="C27" s="476">
        <v>29</v>
      </c>
      <c r="D27" s="476">
        <v>99404</v>
      </c>
      <c r="E27" s="476">
        <v>0</v>
      </c>
      <c r="F27" s="476">
        <v>0</v>
      </c>
      <c r="G27" s="476">
        <v>202.14</v>
      </c>
      <c r="H27" s="477">
        <v>209.88</v>
      </c>
      <c r="J27" s="424" t="s">
        <v>242</v>
      </c>
      <c r="K27" s="407">
        <f t="shared" si="0"/>
        <v>0</v>
      </c>
      <c r="L27" s="407">
        <f t="shared" si="1"/>
        <v>0</v>
      </c>
      <c r="M27" s="407">
        <f t="shared" si="2"/>
        <v>93630</v>
      </c>
      <c r="N27" s="401">
        <f t="shared" si="3"/>
        <v>164.16</v>
      </c>
      <c r="O27" s="422">
        <f t="shared" si="4"/>
        <v>0.7921641487979207</v>
      </c>
    </row>
    <row r="28" spans="1:15" ht="10.5" thickBot="1">
      <c r="A28" s="474" t="s">
        <v>375</v>
      </c>
      <c r="B28" s="475">
        <v>41841</v>
      </c>
      <c r="C28" s="476">
        <v>31</v>
      </c>
      <c r="D28" s="476">
        <v>104767</v>
      </c>
      <c r="E28" s="476">
        <v>0</v>
      </c>
      <c r="F28" s="476">
        <v>0</v>
      </c>
      <c r="G28" s="476">
        <v>205.92</v>
      </c>
      <c r="H28" s="477">
        <v>244.08</v>
      </c>
      <c r="J28" s="424" t="s">
        <v>243</v>
      </c>
      <c r="K28" s="407">
        <f t="shared" si="0"/>
        <v>0</v>
      </c>
      <c r="L28" s="407">
        <f t="shared" si="1"/>
        <v>0</v>
      </c>
      <c r="M28" s="407">
        <f t="shared" si="2"/>
        <v>111615</v>
      </c>
      <c r="N28" s="401">
        <f t="shared" si="3"/>
        <v>205.2</v>
      </c>
      <c r="O28" s="422">
        <f t="shared" si="4"/>
        <v>0.7554621507472385</v>
      </c>
    </row>
    <row r="29" spans="1:15" ht="10.5" thickBot="1">
      <c r="A29" s="474" t="s">
        <v>375</v>
      </c>
      <c r="B29" s="475">
        <v>41871</v>
      </c>
      <c r="C29" s="476">
        <v>30</v>
      </c>
      <c r="D29" s="476">
        <v>100598</v>
      </c>
      <c r="E29" s="476">
        <v>0</v>
      </c>
      <c r="F29" s="476">
        <v>0</v>
      </c>
      <c r="G29" s="476">
        <v>205.74</v>
      </c>
      <c r="H29" s="477">
        <v>205.74</v>
      </c>
      <c r="J29" s="424" t="s">
        <v>244</v>
      </c>
      <c r="K29" s="407">
        <f t="shared" si="0"/>
        <v>0</v>
      </c>
      <c r="L29" s="407">
        <f t="shared" si="1"/>
        <v>0</v>
      </c>
      <c r="M29" s="407">
        <f t="shared" si="2"/>
        <v>94448</v>
      </c>
      <c r="N29" s="401">
        <f t="shared" si="3"/>
        <v>205.2</v>
      </c>
      <c r="O29" s="422">
        <f t="shared" si="4"/>
        <v>0.6392679228936539</v>
      </c>
    </row>
    <row r="30" spans="1:15" ht="10.5" thickBot="1">
      <c r="A30" s="474" t="s">
        <v>375</v>
      </c>
      <c r="B30" s="475">
        <v>41901</v>
      </c>
      <c r="C30" s="476">
        <v>30</v>
      </c>
      <c r="D30" s="476">
        <v>94276</v>
      </c>
      <c r="E30" s="476">
        <v>0</v>
      </c>
      <c r="F30" s="476">
        <v>0</v>
      </c>
      <c r="G30" s="476">
        <v>184.86</v>
      </c>
      <c r="H30" s="477">
        <v>185.22</v>
      </c>
      <c r="J30" s="424" t="s">
        <v>245</v>
      </c>
      <c r="K30" s="407">
        <f t="shared" si="0"/>
        <v>0</v>
      </c>
      <c r="L30" s="407">
        <f t="shared" si="1"/>
        <v>0</v>
      </c>
      <c r="M30" s="407">
        <f t="shared" si="2"/>
        <v>97358</v>
      </c>
      <c r="N30" s="401">
        <f t="shared" si="3"/>
        <v>185.76</v>
      </c>
      <c r="O30" s="422">
        <f t="shared" si="4"/>
        <v>0.7279255191884392</v>
      </c>
    </row>
    <row r="31" spans="1:15" ht="10.5" thickBot="1">
      <c r="A31" s="474" t="s">
        <v>375</v>
      </c>
      <c r="B31" s="475">
        <v>41932</v>
      </c>
      <c r="C31" s="476">
        <v>31</v>
      </c>
      <c r="D31" s="476">
        <v>97923</v>
      </c>
      <c r="E31" s="476">
        <v>0</v>
      </c>
      <c r="F31" s="476">
        <v>0</v>
      </c>
      <c r="G31" s="476">
        <v>188.1</v>
      </c>
      <c r="H31" s="477">
        <v>202.68</v>
      </c>
      <c r="J31" s="424" t="s">
        <v>246</v>
      </c>
      <c r="K31" s="407">
        <f t="shared" si="0"/>
        <v>0</v>
      </c>
      <c r="L31" s="407">
        <f t="shared" si="1"/>
        <v>0</v>
      </c>
      <c r="M31" s="407">
        <f t="shared" si="2"/>
        <v>91990</v>
      </c>
      <c r="N31" s="401">
        <f t="shared" si="3"/>
        <v>187.92</v>
      </c>
      <c r="O31" s="422">
        <f t="shared" si="4"/>
        <v>0.6798844662031125</v>
      </c>
    </row>
    <row r="32" spans="1:15" ht="10.5" thickBot="1">
      <c r="A32" s="474" t="s">
        <v>375</v>
      </c>
      <c r="B32" s="475">
        <v>41950</v>
      </c>
      <c r="C32" s="476">
        <v>18</v>
      </c>
      <c r="D32" s="476">
        <v>58138</v>
      </c>
      <c r="E32" s="476">
        <v>0</v>
      </c>
      <c r="F32" s="476">
        <v>0</v>
      </c>
      <c r="G32" s="476">
        <v>191.88</v>
      </c>
      <c r="H32" s="477">
        <v>196.74</v>
      </c>
      <c r="J32" s="424" t="s">
        <v>247</v>
      </c>
      <c r="K32" s="407">
        <f t="shared" si="0"/>
        <v>0</v>
      </c>
      <c r="L32" s="407">
        <f t="shared" si="1"/>
        <v>0</v>
      </c>
      <c r="M32" s="407">
        <f t="shared" si="2"/>
        <v>87353</v>
      </c>
      <c r="N32" s="401">
        <f t="shared" si="3"/>
        <v>192.24</v>
      </c>
      <c r="O32" s="422">
        <f t="shared" si="4"/>
        <v>0.6311049267119804</v>
      </c>
    </row>
    <row r="33" spans="1:15" ht="10.5" thickBot="1">
      <c r="A33" s="474" t="s">
        <v>375</v>
      </c>
      <c r="B33" s="475">
        <v>41982</v>
      </c>
      <c r="C33" s="476">
        <v>32</v>
      </c>
      <c r="D33" s="476">
        <v>103889</v>
      </c>
      <c r="E33" s="476">
        <v>0</v>
      </c>
      <c r="F33" s="476">
        <v>0</v>
      </c>
      <c r="G33" s="476">
        <v>180.54</v>
      </c>
      <c r="H33" s="477">
        <v>194.4</v>
      </c>
      <c r="J33" s="424" t="s">
        <v>248</v>
      </c>
      <c r="K33" s="407">
        <f t="shared" si="0"/>
        <v>0</v>
      </c>
      <c r="L33" s="407">
        <f t="shared" si="1"/>
        <v>0</v>
      </c>
      <c r="M33" s="407">
        <f t="shared" si="2"/>
        <v>113556</v>
      </c>
      <c r="N33" s="401">
        <f t="shared" si="3"/>
        <v>181.44</v>
      </c>
      <c r="O33" s="422">
        <f t="shared" si="4"/>
        <v>0.8692497060552616</v>
      </c>
    </row>
    <row r="34" spans="1:15" ht="10.5" thickBot="1">
      <c r="A34" s="474" t="s">
        <v>375</v>
      </c>
      <c r="B34" s="475">
        <v>42016</v>
      </c>
      <c r="C34" s="476">
        <v>34</v>
      </c>
      <c r="D34" s="476">
        <v>106346</v>
      </c>
      <c r="E34" s="476">
        <v>0</v>
      </c>
      <c r="F34" s="476">
        <v>0</v>
      </c>
      <c r="G34" s="476">
        <v>181.62</v>
      </c>
      <c r="H34" s="477">
        <v>181.62</v>
      </c>
      <c r="K34" s="407">
        <f>SUM(K22:K33)</f>
        <v>0</v>
      </c>
      <c r="L34" s="407">
        <f>SUM(L22:L33)</f>
        <v>0</v>
      </c>
      <c r="M34" s="407">
        <f>SUM(M22:M33)</f>
        <v>1172784</v>
      </c>
      <c r="N34" s="401">
        <f>AVERAGE(N22:N32)</f>
        <v>185.72727272727275</v>
      </c>
      <c r="O34" s="422"/>
    </row>
    <row r="35" spans="1:8" ht="10.5" thickBot="1">
      <c r="A35" s="474" t="s">
        <v>375</v>
      </c>
      <c r="B35" s="475">
        <v>42047</v>
      </c>
      <c r="C35" s="476">
        <v>31</v>
      </c>
      <c r="D35" s="476">
        <v>103357</v>
      </c>
      <c r="E35" s="476">
        <v>0</v>
      </c>
      <c r="F35" s="476">
        <v>0</v>
      </c>
      <c r="G35" s="476">
        <v>190.62</v>
      </c>
      <c r="H35" s="477">
        <v>190.62</v>
      </c>
    </row>
    <row r="36" spans="1:8" ht="10.5" thickBot="1">
      <c r="A36" s="474" t="s">
        <v>375</v>
      </c>
      <c r="B36" s="475">
        <v>42076</v>
      </c>
      <c r="C36" s="476">
        <v>29</v>
      </c>
      <c r="D36" s="476">
        <v>95442</v>
      </c>
      <c r="E36" s="476">
        <v>0</v>
      </c>
      <c r="F36" s="476">
        <v>0</v>
      </c>
      <c r="G36" s="476">
        <v>184.86</v>
      </c>
      <c r="H36" s="477">
        <v>195.12</v>
      </c>
    </row>
    <row r="37" spans="1:15" ht="10.5" thickBot="1">
      <c r="A37" s="474" t="s">
        <v>375</v>
      </c>
      <c r="B37" s="475">
        <v>42104</v>
      </c>
      <c r="C37" s="476">
        <v>28</v>
      </c>
      <c r="D37" s="476">
        <v>90318</v>
      </c>
      <c r="E37" s="476">
        <v>0</v>
      </c>
      <c r="F37" s="476">
        <v>0</v>
      </c>
      <c r="G37" s="476">
        <v>181.26</v>
      </c>
      <c r="H37" s="477">
        <v>181.26</v>
      </c>
      <c r="K37" s="402" t="s">
        <v>334</v>
      </c>
      <c r="L37" s="402" t="s">
        <v>335</v>
      </c>
      <c r="M37" s="402" t="s">
        <v>336</v>
      </c>
      <c r="N37" s="402" t="s">
        <v>337</v>
      </c>
      <c r="O37" s="402" t="s">
        <v>338</v>
      </c>
    </row>
    <row r="38" spans="1:16" ht="10.5" thickBot="1">
      <c r="A38" s="474" t="s">
        <v>375</v>
      </c>
      <c r="B38" s="475">
        <v>42135</v>
      </c>
      <c r="C38" s="476">
        <v>31</v>
      </c>
      <c r="D38" s="476">
        <v>87371</v>
      </c>
      <c r="E38" s="476">
        <v>0</v>
      </c>
      <c r="F38" s="476">
        <v>0</v>
      </c>
      <c r="G38" s="476">
        <v>164.16</v>
      </c>
      <c r="H38" s="477">
        <v>166.32</v>
      </c>
      <c r="J38" s="403" t="s">
        <v>339</v>
      </c>
      <c r="K38" s="403"/>
      <c r="L38" s="403"/>
      <c r="M38" s="403"/>
      <c r="N38" s="403"/>
      <c r="O38" s="404"/>
      <c r="P38" s="403"/>
    </row>
    <row r="39" spans="1:16" ht="10.5" thickBot="1">
      <c r="A39" s="474" t="s">
        <v>375</v>
      </c>
      <c r="B39" s="475">
        <v>42165</v>
      </c>
      <c r="C39" s="476">
        <v>30</v>
      </c>
      <c r="D39" s="476">
        <v>93630</v>
      </c>
      <c r="E39" s="476">
        <v>0</v>
      </c>
      <c r="F39" s="476">
        <v>0</v>
      </c>
      <c r="G39" s="476">
        <v>164.16</v>
      </c>
      <c r="H39" s="477">
        <v>166.32</v>
      </c>
      <c r="J39" s="401" t="s">
        <v>340</v>
      </c>
      <c r="K39" s="405" t="s">
        <v>341</v>
      </c>
      <c r="L39" s="406">
        <v>0.035</v>
      </c>
      <c r="M39" s="407">
        <f>M34</f>
        <v>1172784</v>
      </c>
      <c r="N39" s="408">
        <f>M39*L39</f>
        <v>41047.44</v>
      </c>
      <c r="O39" s="406">
        <f>N39/M$34</f>
        <v>0.035</v>
      </c>
      <c r="P39" s="409">
        <f>SUM(O39:O71)</f>
        <v>0.06885257449662903</v>
      </c>
    </row>
    <row r="40" spans="1:15" ht="10.5" thickBot="1">
      <c r="A40" s="474" t="s">
        <v>375</v>
      </c>
      <c r="B40" s="475">
        <v>42198</v>
      </c>
      <c r="C40" s="476">
        <v>33</v>
      </c>
      <c r="D40" s="476">
        <v>111615</v>
      </c>
      <c r="E40" s="476">
        <v>0</v>
      </c>
      <c r="F40" s="476">
        <v>0</v>
      </c>
      <c r="G40" s="476">
        <v>205.2</v>
      </c>
      <c r="H40" s="477">
        <v>244.08</v>
      </c>
      <c r="J40" s="401" t="s">
        <v>342</v>
      </c>
      <c r="K40" s="410" t="s">
        <v>341</v>
      </c>
      <c r="L40" s="406">
        <v>0.00744</v>
      </c>
      <c r="M40" s="407">
        <f>M39</f>
        <v>1172784</v>
      </c>
      <c r="N40" s="408">
        <f>M40*L40</f>
        <v>8725.51296</v>
      </c>
      <c r="O40" s="406">
        <f>N40/M$34</f>
        <v>0.00744</v>
      </c>
    </row>
    <row r="41" spans="1:15" ht="10.5" thickBot="1">
      <c r="A41" s="474" t="s">
        <v>375</v>
      </c>
      <c r="B41" s="475">
        <v>42226</v>
      </c>
      <c r="C41" s="476">
        <v>28</v>
      </c>
      <c r="D41" s="476">
        <v>94448</v>
      </c>
      <c r="E41" s="476">
        <v>0</v>
      </c>
      <c r="F41" s="476">
        <v>0</v>
      </c>
      <c r="G41" s="476">
        <v>205.2</v>
      </c>
      <c r="H41" s="477">
        <v>205.2</v>
      </c>
      <c r="J41" s="401" t="s">
        <v>344</v>
      </c>
      <c r="K41" s="405" t="s">
        <v>341</v>
      </c>
      <c r="L41" s="412">
        <v>150</v>
      </c>
      <c r="M41" s="401">
        <f>A8</f>
        <v>188.9461</v>
      </c>
      <c r="N41" s="425">
        <f>L41*M41*365/1000</f>
        <v>10344.798975</v>
      </c>
      <c r="O41" s="406">
        <f>N41/M$34</f>
        <v>0.00882071973611509</v>
      </c>
    </row>
    <row r="42" spans="1:15" ht="10.5" thickBot="1">
      <c r="A42" s="474" t="s">
        <v>375</v>
      </c>
      <c r="B42" s="475">
        <v>42257</v>
      </c>
      <c r="C42" s="476">
        <v>31</v>
      </c>
      <c r="D42" s="476">
        <v>97358</v>
      </c>
      <c r="E42" s="476">
        <v>0</v>
      </c>
      <c r="F42" s="476">
        <v>0</v>
      </c>
      <c r="G42" s="476">
        <v>185.76</v>
      </c>
      <c r="H42" s="477">
        <v>185.76</v>
      </c>
      <c r="K42" s="410"/>
      <c r="O42" s="406"/>
    </row>
    <row r="43" spans="1:16" ht="10.5" thickBot="1">
      <c r="A43" s="474" t="s">
        <v>375</v>
      </c>
      <c r="B43" s="475">
        <v>42286</v>
      </c>
      <c r="C43" s="476">
        <v>29</v>
      </c>
      <c r="D43" s="476">
        <v>91990</v>
      </c>
      <c r="E43" s="476">
        <v>0</v>
      </c>
      <c r="F43" s="476">
        <v>0</v>
      </c>
      <c r="G43" s="476">
        <v>187.92</v>
      </c>
      <c r="H43" s="477">
        <v>203.04</v>
      </c>
      <c r="J43" s="403" t="s">
        <v>191</v>
      </c>
      <c r="K43" s="413"/>
      <c r="L43" s="403"/>
      <c r="M43" s="403"/>
      <c r="N43" s="403"/>
      <c r="O43" s="404"/>
      <c r="P43" s="403"/>
    </row>
    <row r="44" spans="1:15" ht="10.5" thickBot="1">
      <c r="A44" s="474" t="s">
        <v>375</v>
      </c>
      <c r="B44" s="475">
        <v>42313</v>
      </c>
      <c r="C44" s="476">
        <v>27</v>
      </c>
      <c r="D44" s="476">
        <v>87353</v>
      </c>
      <c r="E44" s="476">
        <v>0</v>
      </c>
      <c r="F44" s="476">
        <v>0</v>
      </c>
      <c r="G44" s="476">
        <v>192.24</v>
      </c>
      <c r="H44" s="477">
        <v>192.24</v>
      </c>
      <c r="J44" s="414" t="s">
        <v>356</v>
      </c>
      <c r="K44" s="410"/>
      <c r="O44" s="406"/>
    </row>
    <row r="45" spans="1:15" ht="9.75">
      <c r="A45" s="478" t="s">
        <v>375</v>
      </c>
      <c r="B45" s="479">
        <v>42348</v>
      </c>
      <c r="C45" s="480">
        <v>35</v>
      </c>
      <c r="D45" s="480">
        <v>113556</v>
      </c>
      <c r="E45" s="480">
        <v>0</v>
      </c>
      <c r="F45" s="480">
        <v>0</v>
      </c>
      <c r="G45" s="480">
        <v>181.44</v>
      </c>
      <c r="H45" s="481">
        <v>194.4</v>
      </c>
      <c r="J45" s="411" t="s">
        <v>357</v>
      </c>
      <c r="K45" s="410" t="s">
        <v>343</v>
      </c>
      <c r="L45" s="415">
        <v>6.36</v>
      </c>
      <c r="O45" s="406"/>
    </row>
    <row r="46" spans="10:15" ht="9.75">
      <c r="J46" s="411" t="s">
        <v>358</v>
      </c>
      <c r="K46" s="410" t="s">
        <v>343</v>
      </c>
      <c r="L46" s="416">
        <v>3.78</v>
      </c>
      <c r="O46" s="406"/>
    </row>
    <row r="47" spans="1:15" ht="10.5">
      <c r="A47" s="462" t="s">
        <v>326</v>
      </c>
      <c r="J47" s="401" t="s">
        <v>359</v>
      </c>
      <c r="K47" s="410" t="s">
        <v>343</v>
      </c>
      <c r="L47" s="417">
        <v>0.2</v>
      </c>
      <c r="O47" s="406"/>
    </row>
    <row r="48" spans="10:15" ht="9.75">
      <c r="J48" s="401" t="s">
        <v>345</v>
      </c>
      <c r="K48" s="410" t="s">
        <v>343</v>
      </c>
      <c r="L48" s="418">
        <v>0.00119</v>
      </c>
      <c r="O48" s="406"/>
    </row>
    <row r="49" spans="1:15" ht="11.25" customHeight="1">
      <c r="A49" s="463" t="s">
        <v>327</v>
      </c>
      <c r="J49" s="414" t="s">
        <v>360</v>
      </c>
      <c r="K49" s="410"/>
      <c r="O49" s="406"/>
    </row>
    <row r="50" spans="1:15" ht="12" customHeight="1">
      <c r="A50" s="463" t="s">
        <v>328</v>
      </c>
      <c r="J50" s="411" t="s">
        <v>357</v>
      </c>
      <c r="K50" s="410" t="s">
        <v>343</v>
      </c>
      <c r="L50" s="415"/>
      <c r="N50" s="425"/>
      <c r="O50" s="406"/>
    </row>
    <row r="51" spans="10:15" ht="9.75">
      <c r="J51" s="411" t="s">
        <v>358</v>
      </c>
      <c r="K51" s="410" t="s">
        <v>341</v>
      </c>
      <c r="L51" s="416">
        <v>4.71</v>
      </c>
      <c r="M51" s="401">
        <f>N34*12</f>
        <v>2228.727272727273</v>
      </c>
      <c r="N51" s="425">
        <f>M51*L51</f>
        <v>10497.305454545456</v>
      </c>
      <c r="O51" s="406">
        <f>N51/M$34</f>
        <v>0.008950757730788838</v>
      </c>
    </row>
    <row r="52" spans="10:15" ht="9.75">
      <c r="J52" s="401" t="s">
        <v>359</v>
      </c>
      <c r="K52" s="410" t="s">
        <v>341</v>
      </c>
      <c r="L52" s="417">
        <v>0.26</v>
      </c>
      <c r="M52" s="401">
        <f>M51</f>
        <v>2228.727272727273</v>
      </c>
      <c r="N52" s="425">
        <f>M52*L52</f>
        <v>579.4690909090909</v>
      </c>
      <c r="O52" s="406">
        <f>N52/M$34</f>
        <v>0.0004940970297250738</v>
      </c>
    </row>
    <row r="53" spans="10:15" ht="9.75">
      <c r="J53" s="401" t="s">
        <v>345</v>
      </c>
      <c r="K53" s="410" t="s">
        <v>341</v>
      </c>
      <c r="L53" s="418">
        <v>0.00119</v>
      </c>
      <c r="M53" s="407">
        <f>M34</f>
        <v>1172784</v>
      </c>
      <c r="N53" s="425">
        <f>M53*L53</f>
        <v>1395.6129600000002</v>
      </c>
      <c r="O53" s="406">
        <f>N53/M$34</f>
        <v>0.00119</v>
      </c>
    </row>
    <row r="54" spans="10:15" ht="9.75">
      <c r="J54" s="414" t="s">
        <v>361</v>
      </c>
      <c r="K54" s="410"/>
      <c r="O54" s="406"/>
    </row>
    <row r="55" spans="10:15" ht="9.75">
      <c r="J55" s="411" t="s">
        <v>357</v>
      </c>
      <c r="K55" s="410" t="s">
        <v>343</v>
      </c>
      <c r="L55" s="415">
        <v>6.67</v>
      </c>
      <c r="O55" s="406"/>
    </row>
    <row r="56" spans="10:15" ht="9.75">
      <c r="J56" s="411" t="s">
        <v>358</v>
      </c>
      <c r="K56" s="410" t="s">
        <v>343</v>
      </c>
      <c r="L56" s="416">
        <v>5.42</v>
      </c>
      <c r="O56" s="406"/>
    </row>
    <row r="57" spans="10:15" ht="9.75">
      <c r="J57" s="401" t="s">
        <v>359</v>
      </c>
      <c r="K57" s="410" t="s">
        <v>343</v>
      </c>
      <c r="L57" s="417">
        <v>0.28</v>
      </c>
      <c r="O57" s="406"/>
    </row>
    <row r="58" spans="10:15" ht="9.75">
      <c r="J58" s="401" t="s">
        <v>345</v>
      </c>
      <c r="K58" s="410" t="s">
        <v>343</v>
      </c>
      <c r="L58" s="418">
        <v>0.00119</v>
      </c>
      <c r="O58" s="406"/>
    </row>
    <row r="59" spans="10:15" ht="9.75">
      <c r="J59" s="414" t="s">
        <v>362</v>
      </c>
      <c r="K59" s="410"/>
      <c r="O59" s="406"/>
    </row>
    <row r="60" spans="10:23" ht="9.75">
      <c r="J60" s="411" t="s">
        <v>357</v>
      </c>
      <c r="K60" s="410" t="s">
        <v>343</v>
      </c>
      <c r="L60" s="415">
        <v>5.23</v>
      </c>
      <c r="M60" s="407"/>
      <c r="N60" s="408"/>
      <c r="O60" s="406"/>
      <c r="R60" s="401" t="s">
        <v>348</v>
      </c>
      <c r="S60" s="401" t="s">
        <v>56</v>
      </c>
      <c r="T60" s="401" t="s">
        <v>349</v>
      </c>
      <c r="U60" s="401" t="s">
        <v>350</v>
      </c>
      <c r="V60" s="401" t="s">
        <v>351</v>
      </c>
      <c r="W60" s="401" t="s">
        <v>352</v>
      </c>
    </row>
    <row r="61" spans="10:23" ht="9.75">
      <c r="J61" s="411" t="s">
        <v>358</v>
      </c>
      <c r="K61" s="410" t="s">
        <v>343</v>
      </c>
      <c r="L61" s="416">
        <v>5.12</v>
      </c>
      <c r="M61" s="407"/>
      <c r="N61" s="408"/>
      <c r="O61" s="406"/>
      <c r="R61" s="407">
        <f>S61</f>
        <v>2000</v>
      </c>
      <c r="S61" s="407">
        <v>2000</v>
      </c>
      <c r="T61" s="406">
        <v>0.0033</v>
      </c>
      <c r="U61" s="408">
        <f aca="true" t="shared" si="5" ref="U61:U70">T61*S61</f>
        <v>6.6</v>
      </c>
      <c r="V61" s="408">
        <f>U61</f>
        <v>6.6</v>
      </c>
      <c r="W61" s="406">
        <f aca="true" t="shared" si="6" ref="W61:W70">V61/R61</f>
        <v>0.0033</v>
      </c>
    </row>
    <row r="62" spans="10:23" ht="9.75">
      <c r="J62" s="401" t="s">
        <v>359</v>
      </c>
      <c r="K62" s="410" t="s">
        <v>343</v>
      </c>
      <c r="L62" s="417">
        <v>0.33</v>
      </c>
      <c r="M62" s="407"/>
      <c r="N62" s="408"/>
      <c r="O62" s="406"/>
      <c r="R62" s="407">
        <f aca="true" t="shared" si="7" ref="R62:R70">R61+S62</f>
        <v>50000</v>
      </c>
      <c r="S62" s="407">
        <v>48000</v>
      </c>
      <c r="T62" s="406">
        <v>0.00319</v>
      </c>
      <c r="U62" s="408">
        <f t="shared" si="5"/>
        <v>153.12</v>
      </c>
      <c r="V62" s="408">
        <f aca="true" t="shared" si="8" ref="V62:V70">U62+V61</f>
        <v>159.72</v>
      </c>
      <c r="W62" s="406">
        <f t="shared" si="6"/>
        <v>0.0031944</v>
      </c>
    </row>
    <row r="63" spans="10:23" ht="9.75">
      <c r="J63" s="401" t="s">
        <v>345</v>
      </c>
      <c r="K63" s="410" t="s">
        <v>343</v>
      </c>
      <c r="L63" s="418">
        <v>0.00119</v>
      </c>
      <c r="O63" s="406"/>
      <c r="R63" s="407">
        <f t="shared" si="7"/>
        <v>100000</v>
      </c>
      <c r="S63" s="407">
        <v>50000</v>
      </c>
      <c r="T63" s="406">
        <v>0.00303</v>
      </c>
      <c r="U63" s="408">
        <f t="shared" si="5"/>
        <v>151.5</v>
      </c>
      <c r="V63" s="408">
        <f t="shared" si="8"/>
        <v>311.22</v>
      </c>
      <c r="W63" s="406">
        <f t="shared" si="6"/>
        <v>0.0031122000000000003</v>
      </c>
    </row>
    <row r="64" spans="11:23" ht="9.75">
      <c r="K64" s="410"/>
      <c r="L64" s="418"/>
      <c r="O64" s="406"/>
      <c r="R64" s="407">
        <f t="shared" si="7"/>
        <v>500000</v>
      </c>
      <c r="S64" s="407">
        <v>400000</v>
      </c>
      <c r="T64" s="406">
        <v>0.00297</v>
      </c>
      <c r="U64" s="408">
        <f t="shared" si="5"/>
        <v>1188</v>
      </c>
      <c r="V64" s="408">
        <f t="shared" si="8"/>
        <v>1499.22</v>
      </c>
      <c r="W64" s="406">
        <f t="shared" si="6"/>
        <v>0.0029984400000000002</v>
      </c>
    </row>
    <row r="65" spans="10:23" ht="9.75">
      <c r="J65" s="419" t="s">
        <v>346</v>
      </c>
      <c r="K65" s="420"/>
      <c r="L65" s="419"/>
      <c r="M65" s="419"/>
      <c r="N65" s="419"/>
      <c r="O65" s="419"/>
      <c r="P65" s="419"/>
      <c r="R65" s="407">
        <f t="shared" si="7"/>
        <v>1000000</v>
      </c>
      <c r="S65" s="407">
        <v>500000</v>
      </c>
      <c r="T65" s="406">
        <v>0.00286</v>
      </c>
      <c r="U65" s="408">
        <f t="shared" si="5"/>
        <v>1430</v>
      </c>
      <c r="V65" s="408">
        <f t="shared" si="8"/>
        <v>2929.2200000000003</v>
      </c>
      <c r="W65" s="406">
        <f t="shared" si="6"/>
        <v>0.00292922</v>
      </c>
    </row>
    <row r="66" spans="10:23" ht="9.75">
      <c r="J66" s="401" t="s">
        <v>347</v>
      </c>
      <c r="K66" s="410" t="s">
        <v>341</v>
      </c>
      <c r="L66" s="406">
        <v>0.003</v>
      </c>
      <c r="M66" s="407">
        <f>M53</f>
        <v>1172784</v>
      </c>
      <c r="N66" s="408">
        <f>L66*M66</f>
        <v>3518.352</v>
      </c>
      <c r="O66" s="406">
        <f>N66/M66</f>
        <v>0.003</v>
      </c>
      <c r="R66" s="407">
        <f t="shared" si="7"/>
        <v>3000000</v>
      </c>
      <c r="S66" s="407">
        <v>2000000</v>
      </c>
      <c r="T66" s="406">
        <v>0.0027</v>
      </c>
      <c r="U66" s="408">
        <f t="shared" si="5"/>
        <v>5400</v>
      </c>
      <c r="V66" s="408">
        <f t="shared" si="8"/>
        <v>8329.220000000001</v>
      </c>
      <c r="W66" s="406">
        <f t="shared" si="6"/>
        <v>0.002776406666666667</v>
      </c>
    </row>
    <row r="67" spans="10:23" ht="9.75">
      <c r="J67" s="401" t="s">
        <v>363</v>
      </c>
      <c r="K67" s="410"/>
      <c r="L67" s="406"/>
      <c r="R67" s="407">
        <f t="shared" si="7"/>
        <v>5000000</v>
      </c>
      <c r="S67" s="407">
        <v>2000000</v>
      </c>
      <c r="T67" s="406">
        <v>0.00254</v>
      </c>
      <c r="U67" s="408">
        <f t="shared" si="5"/>
        <v>5080</v>
      </c>
      <c r="V67" s="408">
        <f t="shared" si="8"/>
        <v>13409.220000000001</v>
      </c>
      <c r="W67" s="406">
        <f t="shared" si="6"/>
        <v>0.002681844</v>
      </c>
    </row>
    <row r="68" spans="10:23" ht="9.75">
      <c r="J68" s="411" t="s">
        <v>364</v>
      </c>
      <c r="K68" s="410" t="s">
        <v>341</v>
      </c>
      <c r="L68" s="406">
        <v>0.00267</v>
      </c>
      <c r="M68" s="407">
        <f>M66</f>
        <v>1172784</v>
      </c>
      <c r="N68" s="408">
        <f>L68*M68</f>
        <v>3131.3332800000003</v>
      </c>
      <c r="O68" s="406">
        <f>N68/M68</f>
        <v>0.00267</v>
      </c>
      <c r="R68" s="407">
        <f t="shared" si="7"/>
        <v>10000000</v>
      </c>
      <c r="S68" s="407">
        <v>5000000</v>
      </c>
      <c r="T68" s="406">
        <v>0.00233</v>
      </c>
      <c r="U68" s="408">
        <f t="shared" si="5"/>
        <v>11650</v>
      </c>
      <c r="V68" s="408">
        <f t="shared" si="8"/>
        <v>25059.22</v>
      </c>
      <c r="W68" s="406">
        <f t="shared" si="6"/>
        <v>0.0025059220000000003</v>
      </c>
    </row>
    <row r="69" spans="10:23" ht="9.75">
      <c r="J69" s="411" t="s">
        <v>365</v>
      </c>
      <c r="K69" s="410" t="s">
        <v>343</v>
      </c>
      <c r="L69" s="406"/>
      <c r="M69" s="407"/>
      <c r="N69" s="408"/>
      <c r="O69" s="406"/>
      <c r="R69" s="407">
        <f t="shared" si="7"/>
        <v>20000000</v>
      </c>
      <c r="S69" s="407">
        <v>10000000</v>
      </c>
      <c r="T69" s="406">
        <v>0.00207</v>
      </c>
      <c r="U69" s="408">
        <f t="shared" si="5"/>
        <v>20699.999999999996</v>
      </c>
      <c r="V69" s="408">
        <f t="shared" si="8"/>
        <v>45759.22</v>
      </c>
      <c r="W69" s="406">
        <f t="shared" si="6"/>
        <v>0.0022879610000000002</v>
      </c>
    </row>
    <row r="70" spans="10:23" ht="9.75">
      <c r="J70" s="401" t="s">
        <v>353</v>
      </c>
      <c r="K70" s="410" t="s">
        <v>341</v>
      </c>
      <c r="L70" s="406">
        <f>1.814/1000/2</f>
        <v>0.000907</v>
      </c>
      <c r="M70" s="407">
        <f>M68</f>
        <v>1172784</v>
      </c>
      <c r="N70" s="408">
        <f>L70*M70</f>
        <v>1063.7150880000002</v>
      </c>
      <c r="O70" s="406">
        <f>N70/M70</f>
        <v>0.0009070000000000001</v>
      </c>
      <c r="R70" s="407">
        <f t="shared" si="7"/>
        <v>40000000</v>
      </c>
      <c r="S70" s="401">
        <v>20000000</v>
      </c>
      <c r="T70" s="406">
        <v>0.00202</v>
      </c>
      <c r="U70" s="408">
        <f t="shared" si="5"/>
        <v>40400</v>
      </c>
      <c r="V70" s="408">
        <f t="shared" si="8"/>
        <v>86159.22</v>
      </c>
      <c r="W70" s="406">
        <f t="shared" si="6"/>
        <v>0.0021539805</v>
      </c>
    </row>
    <row r="71" spans="10:15" ht="9.75">
      <c r="J71" s="401" t="s">
        <v>366</v>
      </c>
      <c r="K71" s="410" t="s">
        <v>341</v>
      </c>
      <c r="L71" s="406">
        <v>0.00038</v>
      </c>
      <c r="M71" s="407">
        <f>M70</f>
        <v>1172784</v>
      </c>
      <c r="N71" s="408">
        <f>L71*M71</f>
        <v>445.65792000000005</v>
      </c>
      <c r="O71" s="406">
        <f>N71/M71</f>
        <v>0.00038</v>
      </c>
    </row>
  </sheetData>
  <sheetProtection/>
  <mergeCells count="4">
    <mergeCell ref="A18:A21"/>
    <mergeCell ref="A2:E2"/>
    <mergeCell ref="A3:E3"/>
    <mergeCell ref="A4:E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Pruitt</dc:creator>
  <cp:keywords/>
  <dc:description/>
  <cp:lastModifiedBy>Marcia Lochmann</cp:lastModifiedBy>
  <cp:lastPrinted>2010-03-24T23:08:05Z</cp:lastPrinted>
  <dcterms:created xsi:type="dcterms:W3CDTF">2007-05-16T07:05:26Z</dcterms:created>
  <dcterms:modified xsi:type="dcterms:W3CDTF">2016-07-21T20:26:30Z</dcterms:modified>
  <cp:category/>
  <cp:version/>
  <cp:contentType/>
  <cp:contentStatus/>
</cp:coreProperties>
</file>